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13035" activeTab="3"/>
  </bookViews>
  <sheets>
    <sheet name="МГА" sheetId="4" r:id="rId1"/>
    <sheet name="БАК" sheetId="1" r:id="rId2"/>
    <sheet name="питьевая вода" sheetId="2" r:id="rId3"/>
    <sheet name="стоки" sheetId="3" r:id="rId4"/>
  </sheets>
  <calcPr calcId="125725"/>
</workbook>
</file>

<file path=xl/calcChain.xml><?xml version="1.0" encoding="utf-8"?>
<calcChain xmlns="http://schemas.openxmlformats.org/spreadsheetml/2006/main">
  <c r="G39" i="3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J39"/>
  <c r="J38"/>
  <c r="J37"/>
  <c r="J35"/>
  <c r="J34"/>
  <c r="J33"/>
  <c r="J32"/>
  <c r="J31"/>
  <c r="J30"/>
  <c r="J29"/>
  <c r="J28"/>
  <c r="J27"/>
  <c r="J26"/>
  <c r="J25"/>
  <c r="J24"/>
  <c r="J22"/>
  <c r="J21"/>
  <c r="J20"/>
  <c r="J19"/>
  <c r="J18"/>
  <c r="G40" i="2"/>
  <c r="G39"/>
  <c r="G38"/>
  <c r="G37"/>
  <c r="G36"/>
  <c r="G35"/>
  <c r="G34"/>
  <c r="G33"/>
  <c r="G32"/>
  <c r="G31"/>
  <c r="G30"/>
  <c r="G29"/>
  <c r="G27"/>
  <c r="G26"/>
  <c r="G25"/>
  <c r="G24"/>
  <c r="G23"/>
  <c r="G22"/>
  <c r="G21"/>
  <c r="G20"/>
  <c r="G19"/>
  <c r="G18"/>
  <c r="G17"/>
  <c r="G28"/>
  <c r="J40"/>
  <c r="J36"/>
  <c r="J35"/>
  <c r="J34"/>
  <c r="J33"/>
  <c r="J32"/>
  <c r="J31"/>
  <c r="J29"/>
  <c r="J28"/>
  <c r="J27"/>
  <c r="J26"/>
  <c r="J25"/>
  <c r="J24" l="1"/>
  <c r="J23"/>
  <c r="J22"/>
  <c r="J21"/>
  <c r="J20"/>
  <c r="J19"/>
  <c r="J18"/>
  <c r="J17"/>
  <c r="E43"/>
  <c r="E42"/>
  <c r="G21" i="1"/>
  <c r="G20"/>
  <c r="G19"/>
  <c r="G18"/>
  <c r="G17"/>
  <c r="E23" l="1"/>
  <c r="J21"/>
  <c r="J20"/>
  <c r="J19"/>
  <c r="J18"/>
  <c r="J17"/>
  <c r="I24" i="4"/>
  <c r="I23"/>
  <c r="I22"/>
  <c r="I21"/>
  <c r="I20"/>
  <c r="I19"/>
  <c r="I18"/>
  <c r="L19" l="1"/>
  <c r="L24"/>
  <c r="L23"/>
  <c r="L22"/>
  <c r="L21"/>
  <c r="L20"/>
  <c r="L18"/>
  <c r="E41" i="3" l="1"/>
  <c r="E46" i="2"/>
  <c r="E27" i="1"/>
  <c r="E42" i="3"/>
  <c r="E45" s="1"/>
  <c r="E44" i="2" l="1"/>
  <c r="J23" i="3" l="1"/>
  <c r="G45"/>
  <c r="E43"/>
  <c r="G46" i="2"/>
  <c r="G27" i="1"/>
  <c r="C19" i="4"/>
  <c r="E19" s="1"/>
  <c r="F19" s="1"/>
  <c r="C20"/>
  <c r="H20"/>
  <c r="C21"/>
  <c r="H21" s="1"/>
  <c r="C22"/>
  <c r="H22"/>
  <c r="C23"/>
  <c r="E23" s="1"/>
  <c r="F23" s="1"/>
  <c r="C24"/>
  <c r="H24"/>
  <c r="C18"/>
  <c r="H18" s="1"/>
  <c r="A19"/>
  <c r="A20"/>
  <c r="A21" s="1"/>
  <c r="A22" s="1"/>
  <c r="A23" s="1"/>
  <c r="A24" s="1"/>
  <c r="E20"/>
  <c r="F20" s="1"/>
  <c r="E22"/>
  <c r="F22" s="1"/>
  <c r="E24"/>
  <c r="F24" s="1"/>
  <c r="A19" i="3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C19"/>
  <c r="E19" s="1"/>
  <c r="F19" s="1"/>
  <c r="C20"/>
  <c r="E20" s="1"/>
  <c r="F20" s="1"/>
  <c r="C21"/>
  <c r="E21" s="1"/>
  <c r="F21" s="1"/>
  <c r="C22"/>
  <c r="E22" s="1"/>
  <c r="F22" s="1"/>
  <c r="C23"/>
  <c r="E23" s="1"/>
  <c r="F23" s="1"/>
  <c r="C24"/>
  <c r="E24" s="1"/>
  <c r="F24" s="1"/>
  <c r="C25"/>
  <c r="E25" s="1"/>
  <c r="F25" s="1"/>
  <c r="C26"/>
  <c r="E26" s="1"/>
  <c r="F26" s="1"/>
  <c r="C27"/>
  <c r="E27" s="1"/>
  <c r="F27" s="1"/>
  <c r="C28"/>
  <c r="E28" s="1"/>
  <c r="F28" s="1"/>
  <c r="C29"/>
  <c r="E29" s="1"/>
  <c r="F29" s="1"/>
  <c r="C30"/>
  <c r="E30" s="1"/>
  <c r="F30" s="1"/>
  <c r="C31"/>
  <c r="E31" s="1"/>
  <c r="F31" s="1"/>
  <c r="C32"/>
  <c r="E32" s="1"/>
  <c r="F32" s="1"/>
  <c r="C33"/>
  <c r="E33" s="1"/>
  <c r="F33" s="1"/>
  <c r="C34"/>
  <c r="E34" s="1"/>
  <c r="F34" s="1"/>
  <c r="C35"/>
  <c r="E35" s="1"/>
  <c r="F35" s="1"/>
  <c r="C36"/>
  <c r="E36" s="1"/>
  <c r="F36" s="1"/>
  <c r="C37"/>
  <c r="E37" s="1"/>
  <c r="F37" s="1"/>
  <c r="C38"/>
  <c r="E38" s="1"/>
  <c r="F38" s="1"/>
  <c r="C39"/>
  <c r="E39" s="1"/>
  <c r="F39" s="1"/>
  <c r="C18"/>
  <c r="E18" s="1"/>
  <c r="F18" s="1"/>
  <c r="A18" i="2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C18"/>
  <c r="E18" s="1"/>
  <c r="F18" s="1"/>
  <c r="C19"/>
  <c r="E19" s="1"/>
  <c r="F19" s="1"/>
  <c r="C20"/>
  <c r="E20" s="1"/>
  <c r="F20" s="1"/>
  <c r="C21"/>
  <c r="E21" s="1"/>
  <c r="F21" s="1"/>
  <c r="C22"/>
  <c r="E22" s="1"/>
  <c r="F22" s="1"/>
  <c r="C23"/>
  <c r="E23" s="1"/>
  <c r="F23" s="1"/>
  <c r="C24"/>
  <c r="E24" s="1"/>
  <c r="F24" s="1"/>
  <c r="C25"/>
  <c r="E25" s="1"/>
  <c r="F25" s="1"/>
  <c r="C26"/>
  <c r="E26" s="1"/>
  <c r="F26" s="1"/>
  <c r="C27"/>
  <c r="E27" s="1"/>
  <c r="F27" s="1"/>
  <c r="C28"/>
  <c r="E28" s="1"/>
  <c r="F28" s="1"/>
  <c r="C29"/>
  <c r="E29" s="1"/>
  <c r="F29" s="1"/>
  <c r="C30"/>
  <c r="E30" s="1"/>
  <c r="F30" s="1"/>
  <c r="C31"/>
  <c r="E31" s="1"/>
  <c r="F31" s="1"/>
  <c r="C32"/>
  <c r="E32" s="1"/>
  <c r="F32" s="1"/>
  <c r="C33"/>
  <c r="E33" s="1"/>
  <c r="F33" s="1"/>
  <c r="C34"/>
  <c r="E34" s="1"/>
  <c r="F34" s="1"/>
  <c r="C35"/>
  <c r="E35" s="1"/>
  <c r="F35" s="1"/>
  <c r="C36"/>
  <c r="E36" s="1"/>
  <c r="F36" s="1"/>
  <c r="C37"/>
  <c r="E37" s="1"/>
  <c r="F37" s="1"/>
  <c r="C38"/>
  <c r="E38" s="1"/>
  <c r="F38" s="1"/>
  <c r="C39"/>
  <c r="E39" s="1"/>
  <c r="F39" s="1"/>
  <c r="C40"/>
  <c r="E40" s="1"/>
  <c r="F40" s="1"/>
  <c r="C17"/>
  <c r="E17" s="1"/>
  <c r="F17" s="1"/>
  <c r="C17" i="1"/>
  <c r="C18"/>
  <c r="E18"/>
  <c r="F18" s="1"/>
  <c r="E19"/>
  <c r="F19" s="1"/>
  <c r="C20"/>
  <c r="E20" s="1"/>
  <c r="F20" s="1"/>
  <c r="C21"/>
  <c r="E21" s="1"/>
  <c r="F21" s="1"/>
  <c r="E17"/>
  <c r="F17" s="1"/>
  <c r="H38" i="2" l="1"/>
  <c r="H30"/>
  <c r="H22"/>
  <c r="H18"/>
  <c r="I39"/>
  <c r="K39" s="1"/>
  <c r="L39" s="1"/>
  <c r="H39"/>
  <c r="I35"/>
  <c r="H35"/>
  <c r="I31"/>
  <c r="H31"/>
  <c r="H27"/>
  <c r="H23"/>
  <c r="I23"/>
  <c r="H19"/>
  <c r="H34"/>
  <c r="I34"/>
  <c r="H26"/>
  <c r="I26"/>
  <c r="K26" s="1"/>
  <c r="L26" s="1"/>
  <c r="I40"/>
  <c r="H40"/>
  <c r="I36"/>
  <c r="H36"/>
  <c r="I32"/>
  <c r="H32"/>
  <c r="H28"/>
  <c r="I24"/>
  <c r="H24"/>
  <c r="I20"/>
  <c r="K20" s="1"/>
  <c r="L20" s="1"/>
  <c r="H20"/>
  <c r="H37"/>
  <c r="H33"/>
  <c r="H29"/>
  <c r="H25"/>
  <c r="H21"/>
  <c r="I21" s="1"/>
  <c r="K21" s="1"/>
  <c r="L21" s="1"/>
  <c r="H17"/>
  <c r="H21" i="1"/>
  <c r="I19"/>
  <c r="K19" s="1"/>
  <c r="L19" s="1"/>
  <c r="H19"/>
  <c r="H20"/>
  <c r="I20" s="1"/>
  <c r="H18"/>
  <c r="I17"/>
  <c r="H17"/>
  <c r="K20" i="4"/>
  <c r="M20" s="1"/>
  <c r="N20" s="1"/>
  <c r="J20"/>
  <c r="K19"/>
  <c r="J19"/>
  <c r="J22"/>
  <c r="K22" s="1"/>
  <c r="K24"/>
  <c r="M24" s="1"/>
  <c r="N24" s="1"/>
  <c r="J24"/>
  <c r="K23"/>
  <c r="J23"/>
  <c r="H18" i="3"/>
  <c r="I18" s="1"/>
  <c r="I36"/>
  <c r="K36" s="1"/>
  <c r="L36" s="1"/>
  <c r="H36"/>
  <c r="H32"/>
  <c r="I32" s="1"/>
  <c r="H24"/>
  <c r="I24" s="1"/>
  <c r="K24" s="1"/>
  <c r="L24" s="1"/>
  <c r="I20"/>
  <c r="K20" s="1"/>
  <c r="L20" s="1"/>
  <c r="H20"/>
  <c r="H37"/>
  <c r="I37" s="1"/>
  <c r="H33"/>
  <c r="I33" s="1"/>
  <c r="K33" s="1"/>
  <c r="L33" s="1"/>
  <c r="H29"/>
  <c r="I29" s="1"/>
  <c r="H25"/>
  <c r="I25" s="1"/>
  <c r="I21"/>
  <c r="H21"/>
  <c r="H38"/>
  <c r="H34"/>
  <c r="I34" s="1"/>
  <c r="H30"/>
  <c r="H26"/>
  <c r="I26" s="1"/>
  <c r="K26" s="1"/>
  <c r="L26" s="1"/>
  <c r="H22"/>
  <c r="H39"/>
  <c r="I39" s="1"/>
  <c r="K39" s="1"/>
  <c r="L39" s="1"/>
  <c r="H35"/>
  <c r="I35" s="1"/>
  <c r="H31"/>
  <c r="I31"/>
  <c r="K31" s="1"/>
  <c r="L31" s="1"/>
  <c r="H27"/>
  <c r="I27" s="1"/>
  <c r="H23"/>
  <c r="I23"/>
  <c r="H19"/>
  <c r="I19" s="1"/>
  <c r="K19" s="1"/>
  <c r="L19" s="1"/>
  <c r="I28"/>
  <c r="K28" s="1"/>
  <c r="L28" s="1"/>
  <c r="H28"/>
  <c r="E18" i="4"/>
  <c r="F18" s="1"/>
  <c r="E21"/>
  <c r="F21" s="1"/>
  <c r="H23"/>
  <c r="H19"/>
  <c r="I25" i="2" l="1"/>
  <c r="K25" s="1"/>
  <c r="L25" s="1"/>
  <c r="I33"/>
  <c r="K33" s="1"/>
  <c r="L33" s="1"/>
  <c r="I28"/>
  <c r="K28" s="1"/>
  <c r="L28" s="1"/>
  <c r="I22"/>
  <c r="K22" s="1"/>
  <c r="L22" s="1"/>
  <c r="I38"/>
  <c r="K38" s="1"/>
  <c r="L38" s="1"/>
  <c r="I29"/>
  <c r="K29" s="1"/>
  <c r="L29" s="1"/>
  <c r="I37"/>
  <c r="K37" s="1"/>
  <c r="L37" s="1"/>
  <c r="I19"/>
  <c r="K19" s="1"/>
  <c r="L19" s="1"/>
  <c r="I27"/>
  <c r="K27" s="1"/>
  <c r="L27" s="1"/>
  <c r="I18"/>
  <c r="K18" s="1"/>
  <c r="L18" s="1"/>
  <c r="I30"/>
  <c r="K30" s="1"/>
  <c r="L30" s="1"/>
  <c r="I17"/>
  <c r="K17" s="1"/>
  <c r="L17" s="1"/>
  <c r="I18" i="1"/>
  <c r="K18" s="1"/>
  <c r="L18" s="1"/>
  <c r="I21"/>
  <c r="K21" s="1"/>
  <c r="L21" s="1"/>
  <c r="K21" i="4"/>
  <c r="M21" s="1"/>
  <c r="N21" s="1"/>
  <c r="J21"/>
  <c r="J18"/>
  <c r="K18"/>
  <c r="M18" s="1"/>
  <c r="N18" s="1"/>
  <c r="I22" i="3"/>
  <c r="K22" s="1"/>
  <c r="L22" s="1"/>
  <c r="I30"/>
  <c r="K30" s="1"/>
  <c r="L30" s="1"/>
  <c r="I38"/>
  <c r="K38" s="1"/>
  <c r="L38" s="1"/>
  <c r="K21"/>
  <c r="L21" s="1"/>
  <c r="K23"/>
  <c r="L23" s="1"/>
  <c r="K35" i="2"/>
  <c r="L35" s="1"/>
  <c r="K24"/>
  <c r="L24" s="1"/>
  <c r="K20" i="1"/>
  <c r="L20" s="1"/>
  <c r="K29" i="3"/>
  <c r="L29" s="1"/>
  <c r="K35"/>
  <c r="L35" s="1"/>
  <c r="K34"/>
  <c r="L34" s="1"/>
  <c r="K37"/>
  <c r="L37" s="1"/>
  <c r="K32"/>
  <c r="L32" s="1"/>
  <c r="K25"/>
  <c r="L25" s="1"/>
  <c r="K27"/>
  <c r="L27" s="1"/>
  <c r="K18"/>
  <c r="L18" s="1"/>
  <c r="K36" i="2"/>
  <c r="L36" s="1"/>
  <c r="K40"/>
  <c r="L40" s="1"/>
  <c r="K31"/>
  <c r="L31" s="1"/>
  <c r="K32"/>
  <c r="L32" s="1"/>
  <c r="K23"/>
  <c r="L23" s="1"/>
  <c r="K34"/>
  <c r="L34" s="1"/>
  <c r="K17" i="1"/>
  <c r="L17" s="1"/>
  <c r="M22" i="4"/>
  <c r="N22" s="1"/>
  <c r="M23"/>
  <c r="N23" s="1"/>
  <c r="M19"/>
  <c r="N19" s="1"/>
</calcChain>
</file>

<file path=xl/sharedStrings.xml><?xml version="1.0" encoding="utf-8"?>
<sst xmlns="http://schemas.openxmlformats.org/spreadsheetml/2006/main" count="205" uniqueCount="87">
  <si>
    <t>Ионы амония</t>
  </si>
  <si>
    <t>Нитриты</t>
  </si>
  <si>
    <t>Нитраты</t>
  </si>
  <si>
    <t>Фториды</t>
  </si>
  <si>
    <t>Хлориды</t>
  </si>
  <si>
    <t>Сульфаты</t>
  </si>
  <si>
    <t>Окисляемость перманганатная</t>
  </si>
  <si>
    <t>Жесткость</t>
  </si>
  <si>
    <t>Марганец</t>
  </si>
  <si>
    <t>Железо</t>
  </si>
  <si>
    <t>Медь</t>
  </si>
  <si>
    <t>Цинк</t>
  </si>
  <si>
    <t>Мышьяк</t>
  </si>
  <si>
    <t>Сухой остаток</t>
  </si>
  <si>
    <t>Нефтепродукты</t>
  </si>
  <si>
    <t>Фенолы</t>
  </si>
  <si>
    <t>АПАВ</t>
  </si>
  <si>
    <t>Остаточный хлор</t>
  </si>
  <si>
    <t>Мутность</t>
  </si>
  <si>
    <t>Цветность</t>
  </si>
  <si>
    <t>Запах</t>
  </si>
  <si>
    <t>Привкус</t>
  </si>
  <si>
    <t>Электропроводность</t>
  </si>
  <si>
    <t>Щелочность</t>
  </si>
  <si>
    <t>Фосфаты</t>
  </si>
  <si>
    <t>ХПК</t>
  </si>
  <si>
    <t>Растворенный кислород</t>
  </si>
  <si>
    <t>БПК</t>
  </si>
  <si>
    <t>Хром</t>
  </si>
  <si>
    <t>Алюминий</t>
  </si>
  <si>
    <t>Фенол</t>
  </si>
  <si>
    <t>Взвешенные вещества</t>
  </si>
  <si>
    <t>Фосфор общий</t>
  </si>
  <si>
    <t>Ионы водорода</t>
  </si>
  <si>
    <t>руб.</t>
  </si>
  <si>
    <t>Приготовление дез.растворов:</t>
  </si>
  <si>
    <t xml:space="preserve">Гипохлорид + з/п лаборанта = </t>
  </si>
  <si>
    <t xml:space="preserve"> +</t>
  </si>
  <si>
    <t xml:space="preserve"> =</t>
  </si>
  <si>
    <t>№        п/п</t>
  </si>
  <si>
    <t>Наименование анализа</t>
  </si>
  <si>
    <t>Начальник ПЭО</t>
  </si>
  <si>
    <t>Г.В.Брюхнова</t>
  </si>
  <si>
    <t>Исполнитель</t>
  </si>
  <si>
    <t>О.Е.Устинова</t>
  </si>
  <si>
    <t>Никель</t>
  </si>
  <si>
    <t>Свинец</t>
  </si>
  <si>
    <t>ОМЧ (Общее микробное число)</t>
  </si>
  <si>
    <t>ОКБ (Общие колиформные бактерии)</t>
  </si>
  <si>
    <t>ТКБ (Термотолерантные колиформные бактерии)</t>
  </si>
  <si>
    <t>Колифаги</t>
  </si>
  <si>
    <t>Сульфитредуцирующие клостридии</t>
  </si>
  <si>
    <t>Калькуляция</t>
  </si>
  <si>
    <t>УТВЕРЖДАЮ</t>
  </si>
  <si>
    <t>Время на одно определение, чел/час</t>
  </si>
  <si>
    <t>Стоимость чел/час,  руб.</t>
  </si>
  <si>
    <t>ФОТ, руб.</t>
  </si>
  <si>
    <t>Итого затрат, руб.</t>
  </si>
  <si>
    <t>Итого затрат с материалами, руб.</t>
  </si>
  <si>
    <t>Итого стоимость анализа с НДС</t>
  </si>
  <si>
    <t>Инженер - химик</t>
  </si>
  <si>
    <t>Лаборант - хим. анализа</t>
  </si>
  <si>
    <t>чел/час</t>
  </si>
  <si>
    <t>маш/час</t>
  </si>
  <si>
    <t>Рентабельность от ФОТ,       50%</t>
  </si>
  <si>
    <t>Итого стоимость машин и механизмов, руб.</t>
  </si>
  <si>
    <t>Вслучае выезда на отбор проб дополнительно за 1 час:</t>
  </si>
  <si>
    <t>Стоимость материалов (реактивы,эл.энергия, дистил.вода) без НДС, руб.</t>
  </si>
  <si>
    <t>Стоимость материалов (реактивы, эл.энергия,дистил.вода) без НДС, руб.</t>
  </si>
  <si>
    <t>Стоимость маш/час,  руб.</t>
  </si>
  <si>
    <t>Приложение №1</t>
  </si>
  <si>
    <t>к Приказу №__________от__________</t>
  </si>
  <si>
    <t>Приложение №2</t>
  </si>
  <si>
    <t>Приложение №3</t>
  </si>
  <si>
    <t>Приложение №4</t>
  </si>
  <si>
    <t xml:space="preserve">А/транспорт Фиат </t>
  </si>
  <si>
    <t>"____" ____________20___г.</t>
  </si>
  <si>
    <t>Накладные расходы от ФОТ,  279%</t>
  </si>
  <si>
    <t>Итого ФОТ с 13-0й и выслугой лет,13%</t>
  </si>
  <si>
    <t>Итого ФОТ с 13-0 й и выслугой лет,13%</t>
  </si>
  <si>
    <t xml:space="preserve">Зам.директора по экономике и  </t>
  </si>
  <si>
    <t>и финансам МУП"Водоканал"</t>
  </si>
  <si>
    <t>__________Е.С.Любенкова</t>
  </si>
  <si>
    <t>стоимости показателей,  определяемых на приборе МГА - 519М для МУП "Водоканал" г. Иркутска на 2016 год</t>
  </si>
  <si>
    <t>стоимости показателей,  бактериологического анализа для МУП "Водоканал" г. Иркутска на 2016 год</t>
  </si>
  <si>
    <t>стоимости показателей,  определяемых в питьевой воде для МУП "Водоканал" г. Иркутска на 2016 год</t>
  </si>
  <si>
    <t>стоимости показателей,  определяемых в сточной  воде для МУП "Водоканал" г. Иркутска на 2016 год</t>
  </si>
</sst>
</file>

<file path=xl/styles.xml><?xml version="1.0" encoding="utf-8"?>
<styleSheet xmlns="http://schemas.openxmlformats.org/spreadsheetml/2006/main">
  <numFmts count="2">
    <numFmt numFmtId="164" formatCode="#,##0.00_р_."/>
    <numFmt numFmtId="165" formatCode="0.000000"/>
  </numFmts>
  <fonts count="6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4" xfId="0" applyFont="1" applyBorder="1" applyAlignment="1">
      <alignment wrapText="1"/>
    </xf>
    <xf numFmtId="164" fontId="1" fillId="0" borderId="4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0" xfId="0" applyFont="1" applyFill="1" applyBorder="1" applyAlignment="1">
      <alignment horizontal="left"/>
    </xf>
    <xf numFmtId="2" fontId="1" fillId="0" borderId="0" xfId="0" applyNumberFormat="1" applyFont="1"/>
    <xf numFmtId="0" fontId="3" fillId="0" borderId="0" xfId="0" applyFont="1" applyFill="1" applyBorder="1" applyAlignment="1">
      <alignment horizontal="left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/>
    <xf numFmtId="0" fontId="1" fillId="0" borderId="1" xfId="0" applyFont="1" applyBorder="1"/>
    <xf numFmtId="0" fontId="1" fillId="0" borderId="4" xfId="0" applyFont="1" applyBorder="1"/>
    <xf numFmtId="164" fontId="1" fillId="0" borderId="8" xfId="0" applyNumberFormat="1" applyFont="1" applyBorder="1" applyAlignment="1">
      <alignment horizontal="center"/>
    </xf>
    <xf numFmtId="2" fontId="1" fillId="0" borderId="0" xfId="0" applyNumberFormat="1" applyFont="1" applyFill="1" applyAlignment="1">
      <alignment horizontal="right"/>
    </xf>
    <xf numFmtId="0" fontId="0" fillId="0" borderId="6" xfId="0" applyBorder="1"/>
    <xf numFmtId="0" fontId="0" fillId="0" borderId="7" xfId="0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/>
    </xf>
    <xf numFmtId="0" fontId="4" fillId="0" borderId="0" xfId="0" applyFont="1"/>
    <xf numFmtId="0" fontId="5" fillId="0" borderId="0" xfId="0" applyFont="1" applyAlignment="1"/>
    <xf numFmtId="0" fontId="1" fillId="0" borderId="6" xfId="0" applyFont="1" applyBorder="1"/>
    <xf numFmtId="164" fontId="1" fillId="0" borderId="9" xfId="0" applyNumberFormat="1" applyFont="1" applyBorder="1" applyAlignment="1">
      <alignment horizontal="center"/>
    </xf>
    <xf numFmtId="0" fontId="1" fillId="0" borderId="7" xfId="0" applyFont="1" applyBorder="1"/>
    <xf numFmtId="164" fontId="1" fillId="0" borderId="10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4" fontId="1" fillId="0" borderId="0" xfId="0" applyNumberFormat="1" applyFont="1"/>
    <xf numFmtId="165" fontId="0" fillId="0" borderId="0" xfId="0" applyNumberFormat="1"/>
    <xf numFmtId="164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0" fillId="0" borderId="0" xfId="0" applyBorder="1"/>
    <xf numFmtId="164" fontId="5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 shrinkToFit="1"/>
    </xf>
    <xf numFmtId="0" fontId="5" fillId="0" borderId="3" xfId="0" applyFont="1" applyBorder="1" applyAlignment="1">
      <alignment horizontal="center" wrapText="1" shrinkToFi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 shrinkToFi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2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 shrinkToFit="1"/>
    </xf>
    <xf numFmtId="0" fontId="5" fillId="0" borderId="23" xfId="0" applyFont="1" applyBorder="1" applyAlignment="1">
      <alignment horizont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2"/>
  <sheetViews>
    <sheetView workbookViewId="0">
      <selection sqref="A1:N32"/>
    </sheetView>
  </sheetViews>
  <sheetFormatPr defaultRowHeight="12.75"/>
  <cols>
    <col min="1" max="1" width="4" customWidth="1"/>
    <col min="2" max="2" width="15.140625" customWidth="1"/>
    <col min="4" max="4" width="11.42578125" customWidth="1"/>
    <col min="5" max="5" width="9.5703125" customWidth="1"/>
    <col min="6" max="6" width="9.140625" customWidth="1"/>
    <col min="7" max="7" width="11" customWidth="1"/>
    <col min="8" max="8" width="12.28515625" customWidth="1"/>
    <col min="9" max="9" width="11.7109375" customWidth="1"/>
    <col min="10" max="11" width="10.5703125" customWidth="1"/>
    <col min="12" max="12" width="12.7109375" customWidth="1"/>
    <col min="13" max="13" width="16.5703125" customWidth="1"/>
    <col min="14" max="14" width="12.42578125" customWidth="1"/>
    <col min="16" max="16" width="11.5703125" bestFit="1" customWidth="1"/>
  </cols>
  <sheetData>
    <row r="1" spans="1:14">
      <c r="L1" s="28" t="s">
        <v>70</v>
      </c>
      <c r="M1" s="28"/>
      <c r="N1" s="28"/>
    </row>
    <row r="2" spans="1:14">
      <c r="L2" s="28" t="s">
        <v>71</v>
      </c>
      <c r="M2" s="28"/>
      <c r="N2" s="28"/>
    </row>
    <row r="4" spans="1:14" ht="15.75">
      <c r="L4" s="9" t="s">
        <v>53</v>
      </c>
    </row>
    <row r="5" spans="1:14" ht="15.75">
      <c r="L5" s="9" t="s">
        <v>80</v>
      </c>
    </row>
    <row r="6" spans="1:14" ht="15.75">
      <c r="L6" s="9" t="s">
        <v>81</v>
      </c>
    </row>
    <row r="7" spans="1:14" ht="15.75">
      <c r="L7" s="9" t="s">
        <v>82</v>
      </c>
    </row>
    <row r="8" spans="1:14" ht="15.75">
      <c r="L8" s="9" t="s">
        <v>76</v>
      </c>
    </row>
    <row r="11" spans="1:14" ht="15.75">
      <c r="E11" s="9"/>
      <c r="F11" s="9"/>
      <c r="G11" s="9"/>
      <c r="H11" s="9"/>
      <c r="I11" s="19" t="s">
        <v>52</v>
      </c>
      <c r="J11" s="19"/>
      <c r="K11" s="9"/>
      <c r="L11" s="9"/>
    </row>
    <row r="12" spans="1:14" ht="15.75">
      <c r="C12" s="43" t="s">
        <v>83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</row>
    <row r="13" spans="1:14" ht="16.5" thickBot="1">
      <c r="A13" s="9"/>
      <c r="B13" s="9"/>
      <c r="C13" s="9"/>
      <c r="D13" s="9"/>
      <c r="E13" s="9"/>
      <c r="F13" s="9"/>
      <c r="G13" s="9"/>
      <c r="H13" s="9"/>
    </row>
    <row r="14" spans="1:14" ht="15.75" customHeight="1">
      <c r="A14" s="44" t="s">
        <v>39</v>
      </c>
      <c r="B14" s="46" t="s">
        <v>40</v>
      </c>
      <c r="C14" s="46" t="s">
        <v>54</v>
      </c>
      <c r="D14" s="46" t="s">
        <v>55</v>
      </c>
      <c r="E14" s="46" t="s">
        <v>56</v>
      </c>
      <c r="F14" s="46" t="s">
        <v>78</v>
      </c>
      <c r="G14" s="52" t="s">
        <v>69</v>
      </c>
      <c r="H14" s="52" t="s">
        <v>65</v>
      </c>
      <c r="I14" s="46" t="s">
        <v>77</v>
      </c>
      <c r="J14" s="46" t="s">
        <v>64</v>
      </c>
      <c r="K14" s="46" t="s">
        <v>57</v>
      </c>
      <c r="L14" s="46" t="s">
        <v>68</v>
      </c>
      <c r="M14" s="48" t="s">
        <v>58</v>
      </c>
      <c r="N14" s="50" t="s">
        <v>59</v>
      </c>
    </row>
    <row r="15" spans="1:14" ht="15.75" customHeight="1">
      <c r="A15" s="45"/>
      <c r="B15" s="47"/>
      <c r="C15" s="47"/>
      <c r="D15" s="47"/>
      <c r="E15" s="47"/>
      <c r="F15" s="47"/>
      <c r="G15" s="53"/>
      <c r="H15" s="53"/>
      <c r="I15" s="47"/>
      <c r="J15" s="47"/>
      <c r="K15" s="47"/>
      <c r="L15" s="47"/>
      <c r="M15" s="49"/>
      <c r="N15" s="51"/>
    </row>
    <row r="16" spans="1:14" ht="15.75" customHeight="1">
      <c r="A16" s="45"/>
      <c r="B16" s="47"/>
      <c r="C16" s="47"/>
      <c r="D16" s="47"/>
      <c r="E16" s="47"/>
      <c r="F16" s="47"/>
      <c r="G16" s="53"/>
      <c r="H16" s="53"/>
      <c r="I16" s="47"/>
      <c r="J16" s="47"/>
      <c r="K16" s="47"/>
      <c r="L16" s="47"/>
      <c r="M16" s="49"/>
      <c r="N16" s="51"/>
    </row>
    <row r="17" spans="1:16" ht="69.75" customHeight="1">
      <c r="A17" s="45"/>
      <c r="B17" s="47"/>
      <c r="C17" s="47"/>
      <c r="D17" s="47"/>
      <c r="E17" s="47"/>
      <c r="F17" s="47"/>
      <c r="G17" s="54"/>
      <c r="H17" s="54"/>
      <c r="I17" s="47"/>
      <c r="J17" s="47"/>
      <c r="K17" s="47"/>
      <c r="L17" s="47"/>
      <c r="M17" s="49"/>
      <c r="N17" s="51"/>
    </row>
    <row r="18" spans="1:16" ht="15.75">
      <c r="A18" s="17">
        <v>1</v>
      </c>
      <c r="B18" s="20" t="s">
        <v>45</v>
      </c>
      <c r="C18" s="6">
        <f>79/60</f>
        <v>1.3166666666666667</v>
      </c>
      <c r="D18" s="2">
        <v>231.97</v>
      </c>
      <c r="E18" s="2">
        <f>D18*C18</f>
        <v>305.42716666666666</v>
      </c>
      <c r="F18" s="2">
        <f>E18*1.13</f>
        <v>345.13269833333328</v>
      </c>
      <c r="G18" s="2">
        <v>70.900000000000006</v>
      </c>
      <c r="H18" s="2">
        <f>G18*C18</f>
        <v>93.351666666666674</v>
      </c>
      <c r="I18" s="2">
        <f>F18*2.78887</f>
        <v>962.53022840088329</v>
      </c>
      <c r="J18" s="2">
        <f>F18*0.5</f>
        <v>172.56634916666664</v>
      </c>
      <c r="K18" s="2">
        <f>F18+H18+I18+J18</f>
        <v>1573.58094256755</v>
      </c>
      <c r="L18" s="2">
        <f>42.54*1.023*1.094+850</f>
        <v>897.60915148000004</v>
      </c>
      <c r="M18" s="38">
        <f>L18+K18</f>
        <v>2471.1900940475498</v>
      </c>
      <c r="N18" s="35">
        <f>M18*1.18</f>
        <v>2916.0043109761086</v>
      </c>
    </row>
    <row r="19" spans="1:16" ht="15.75">
      <c r="A19" s="17">
        <f t="shared" ref="A19:A24" si="0">A18+1</f>
        <v>2</v>
      </c>
      <c r="B19" s="20" t="s">
        <v>46</v>
      </c>
      <c r="C19" s="6">
        <f>95/60</f>
        <v>1.5833333333333333</v>
      </c>
      <c r="D19" s="2">
        <v>231.97</v>
      </c>
      <c r="E19" s="2">
        <f t="shared" ref="E19:E24" si="1">D19*C19</f>
        <v>367.2858333333333</v>
      </c>
      <c r="F19" s="2">
        <f t="shared" ref="F19:F24" si="2">E19*1.13</f>
        <v>415.03299166666659</v>
      </c>
      <c r="G19" s="2">
        <v>70.900000000000006</v>
      </c>
      <c r="H19" s="2">
        <f t="shared" ref="H19:H24" si="3">G19*C19</f>
        <v>112.25833333333334</v>
      </c>
      <c r="I19" s="2">
        <f>F19*2.79084</f>
        <v>1158.290674463</v>
      </c>
      <c r="J19" s="2">
        <f t="shared" ref="J19:J24" si="4">F19*0.5</f>
        <v>207.51649583333329</v>
      </c>
      <c r="K19" s="2">
        <f t="shared" ref="K19:K24" si="5">F19+H19+I19+J19</f>
        <v>1893.0984952963331</v>
      </c>
      <c r="L19" s="2">
        <f>50.25*1.023*1.074+850</f>
        <v>905.20977549999998</v>
      </c>
      <c r="M19" s="39">
        <f t="shared" ref="M19:M24" si="6">L19+K19</f>
        <v>2798.3082707963331</v>
      </c>
      <c r="N19" s="35">
        <f>M19*1.18</f>
        <v>3302.003759539673</v>
      </c>
      <c r="P19" s="37"/>
    </row>
    <row r="20" spans="1:16" ht="15.75">
      <c r="A20" s="17">
        <f t="shared" si="0"/>
        <v>3</v>
      </c>
      <c r="B20" s="20" t="s">
        <v>9</v>
      </c>
      <c r="C20" s="6">
        <f>90/60</f>
        <v>1.5</v>
      </c>
      <c r="D20" s="2">
        <v>231.97</v>
      </c>
      <c r="E20" s="2">
        <f t="shared" si="1"/>
        <v>347.95499999999998</v>
      </c>
      <c r="F20" s="2">
        <f t="shared" si="2"/>
        <v>393.18914999999993</v>
      </c>
      <c r="G20" s="2">
        <v>70.900000000000006</v>
      </c>
      <c r="H20" s="2">
        <f t="shared" si="3"/>
        <v>106.35000000000001</v>
      </c>
      <c r="I20" s="2">
        <f>F20*2.79017</f>
        <v>1097.0645706554997</v>
      </c>
      <c r="J20" s="2">
        <f t="shared" si="4"/>
        <v>196.59457499999996</v>
      </c>
      <c r="K20" s="2">
        <f t="shared" si="5"/>
        <v>1793.1982956554998</v>
      </c>
      <c r="L20" s="2">
        <f>47.84*1.023*1.074+850</f>
        <v>902.56190368</v>
      </c>
      <c r="M20" s="38">
        <f t="shared" si="6"/>
        <v>2695.7601993354997</v>
      </c>
      <c r="N20" s="35">
        <f t="shared" ref="N20:N24" si="7">M20*1.18</f>
        <v>3180.9970352158894</v>
      </c>
    </row>
    <row r="21" spans="1:16" ht="15.75">
      <c r="A21" s="17">
        <f t="shared" si="0"/>
        <v>4</v>
      </c>
      <c r="B21" s="20" t="s">
        <v>29</v>
      </c>
      <c r="C21" s="6">
        <f>75/60</f>
        <v>1.25</v>
      </c>
      <c r="D21" s="2">
        <v>231.97</v>
      </c>
      <c r="E21" s="2">
        <f t="shared" si="1"/>
        <v>289.96249999999998</v>
      </c>
      <c r="F21" s="2">
        <f t="shared" si="2"/>
        <v>327.65762499999994</v>
      </c>
      <c r="G21" s="2">
        <v>70.900000000000006</v>
      </c>
      <c r="H21" s="2">
        <f t="shared" si="3"/>
        <v>88.625</v>
      </c>
      <c r="I21" s="2">
        <f>F21*2.79023</f>
        <v>914.24013500374986</v>
      </c>
      <c r="J21" s="2">
        <f t="shared" si="4"/>
        <v>163.82881249999997</v>
      </c>
      <c r="K21" s="2">
        <f t="shared" si="5"/>
        <v>1494.3515725037496</v>
      </c>
      <c r="L21" s="2">
        <f>40.62*1.023*1.074+850</f>
        <v>894.62927523999997</v>
      </c>
      <c r="M21" s="38">
        <f t="shared" si="6"/>
        <v>2388.9808477437496</v>
      </c>
      <c r="N21" s="35">
        <f t="shared" si="7"/>
        <v>2818.9974003376242</v>
      </c>
    </row>
    <row r="22" spans="1:16" ht="15.75">
      <c r="A22" s="17">
        <f t="shared" si="0"/>
        <v>5</v>
      </c>
      <c r="B22" s="20" t="s">
        <v>10</v>
      </c>
      <c r="C22" s="6">
        <f>96/60</f>
        <v>1.6</v>
      </c>
      <c r="D22" s="2">
        <v>231.97</v>
      </c>
      <c r="E22" s="2">
        <f t="shared" si="1"/>
        <v>371.15200000000004</v>
      </c>
      <c r="F22" s="2">
        <f t="shared" si="2"/>
        <v>419.40176000000002</v>
      </c>
      <c r="G22" s="2">
        <v>70.900000000000006</v>
      </c>
      <c r="H22" s="2">
        <f t="shared" si="3"/>
        <v>113.44000000000001</v>
      </c>
      <c r="I22" s="2">
        <f>F22*2.79055</f>
        <v>1170.3615813680001</v>
      </c>
      <c r="J22" s="2">
        <f t="shared" si="4"/>
        <v>209.70088000000001</v>
      </c>
      <c r="K22" s="2">
        <f t="shared" si="5"/>
        <v>1912.9042213680002</v>
      </c>
      <c r="L22" s="2">
        <f>50.73*1.023*1.074+850</f>
        <v>905.73715245999995</v>
      </c>
      <c r="M22" s="38">
        <f t="shared" si="6"/>
        <v>2818.6413738280003</v>
      </c>
      <c r="N22" s="35">
        <f t="shared" si="7"/>
        <v>3325.9968211170403</v>
      </c>
    </row>
    <row r="23" spans="1:16" ht="15.75">
      <c r="A23" s="17">
        <f t="shared" si="0"/>
        <v>6</v>
      </c>
      <c r="B23" s="20" t="s">
        <v>28</v>
      </c>
      <c r="C23" s="6">
        <f>80/60</f>
        <v>1.3333333333333333</v>
      </c>
      <c r="D23" s="2">
        <v>231.97</v>
      </c>
      <c r="E23" s="2">
        <f t="shared" si="1"/>
        <v>309.29333333333329</v>
      </c>
      <c r="F23" s="2">
        <f t="shared" si="2"/>
        <v>349.5014666666666</v>
      </c>
      <c r="G23" s="2">
        <v>70.900000000000006</v>
      </c>
      <c r="H23" s="2">
        <f t="shared" si="3"/>
        <v>94.533333333333331</v>
      </c>
      <c r="I23" s="2">
        <f>F23*2.79105</f>
        <v>975.4760685399998</v>
      </c>
      <c r="J23" s="2">
        <f t="shared" si="4"/>
        <v>174.7507333333333</v>
      </c>
      <c r="K23" s="2">
        <f t="shared" si="5"/>
        <v>1594.2616018733329</v>
      </c>
      <c r="L23" s="2">
        <f>43.02*1.023*1.074+850</f>
        <v>897.26616004000005</v>
      </c>
      <c r="M23" s="38">
        <f t="shared" si="6"/>
        <v>2491.5277619133331</v>
      </c>
      <c r="N23" s="35">
        <f t="shared" si="7"/>
        <v>2940.0027590577329</v>
      </c>
    </row>
    <row r="24" spans="1:16" ht="16.5" thickBot="1">
      <c r="A24" s="18">
        <f t="shared" si="0"/>
        <v>7</v>
      </c>
      <c r="B24" s="21" t="s">
        <v>11</v>
      </c>
      <c r="C24" s="7">
        <f>90/60</f>
        <v>1.5</v>
      </c>
      <c r="D24" s="2">
        <v>231.97</v>
      </c>
      <c r="E24" s="5">
        <f t="shared" si="1"/>
        <v>347.95499999999998</v>
      </c>
      <c r="F24" s="2">
        <f t="shared" si="2"/>
        <v>393.18914999999993</v>
      </c>
      <c r="G24" s="5">
        <v>70.900000000000006</v>
      </c>
      <c r="H24" s="5">
        <f t="shared" si="3"/>
        <v>106.35000000000001</v>
      </c>
      <c r="I24" s="2">
        <f>F24*2.79017</f>
        <v>1097.0645706554997</v>
      </c>
      <c r="J24" s="2">
        <f t="shared" si="4"/>
        <v>196.59457499999996</v>
      </c>
      <c r="K24" s="2">
        <f t="shared" si="5"/>
        <v>1793.1982956554998</v>
      </c>
      <c r="L24" s="5">
        <f>47.84*1.023*1.074+850</f>
        <v>902.56190368</v>
      </c>
      <c r="M24" s="40">
        <f t="shared" si="6"/>
        <v>2695.7601993354997</v>
      </c>
      <c r="N24" s="35">
        <f t="shared" si="7"/>
        <v>3180.9970352158894</v>
      </c>
    </row>
    <row r="27" spans="1:16" ht="15.75">
      <c r="A27" s="9" t="s">
        <v>41</v>
      </c>
      <c r="B27" s="9"/>
      <c r="C27" s="9"/>
      <c r="D27" s="9"/>
      <c r="E27" s="43"/>
      <c r="F27" s="43"/>
      <c r="J27" s="43"/>
      <c r="K27" s="43"/>
      <c r="L27" s="43" t="s">
        <v>42</v>
      </c>
      <c r="M27" s="43"/>
    </row>
    <row r="28" spans="1:16" ht="15.75">
      <c r="A28" s="9"/>
      <c r="B28" s="9"/>
      <c r="C28" s="9"/>
      <c r="D28" s="9"/>
      <c r="E28" s="9"/>
      <c r="F28" s="9"/>
    </row>
    <row r="29" spans="1:16" ht="15.75">
      <c r="A29" s="9"/>
      <c r="B29" s="9"/>
      <c r="C29" s="9"/>
      <c r="D29" s="9"/>
      <c r="E29" s="9"/>
      <c r="F29" s="9"/>
    </row>
    <row r="30" spans="1:16" ht="15.75">
      <c r="A30" s="9"/>
      <c r="B30" s="9"/>
      <c r="C30" s="9"/>
      <c r="D30" s="9"/>
      <c r="E30" s="9"/>
      <c r="F30" s="9"/>
    </row>
    <row r="31" spans="1:16" ht="15.75">
      <c r="A31" s="9" t="s">
        <v>43</v>
      </c>
      <c r="B31" s="9"/>
      <c r="C31" s="9"/>
      <c r="D31" s="9"/>
      <c r="E31" s="9"/>
      <c r="F31" s="9"/>
    </row>
    <row r="32" spans="1:16" ht="15.75">
      <c r="A32" s="9" t="s">
        <v>44</v>
      </c>
      <c r="B32" s="9"/>
      <c r="C32" s="9"/>
      <c r="D32" s="9"/>
      <c r="E32" s="9"/>
      <c r="F32" s="9"/>
    </row>
  </sheetData>
  <mergeCells count="18">
    <mergeCell ref="N14:N17"/>
    <mergeCell ref="E27:F27"/>
    <mergeCell ref="J27:K27"/>
    <mergeCell ref="L27:M27"/>
    <mergeCell ref="G14:G17"/>
    <mergeCell ref="H14:H17"/>
    <mergeCell ref="I14:I17"/>
    <mergeCell ref="J14:J17"/>
    <mergeCell ref="K14:K17"/>
    <mergeCell ref="F14:F17"/>
    <mergeCell ref="L14:L17"/>
    <mergeCell ref="C12:M12"/>
    <mergeCell ref="A14:A17"/>
    <mergeCell ref="B14:B17"/>
    <mergeCell ref="C14:C17"/>
    <mergeCell ref="D14:D17"/>
    <mergeCell ref="E14:E17"/>
    <mergeCell ref="M14:M17"/>
  </mergeCells>
  <phoneticPr fontId="2" type="noConversion"/>
  <pageMargins left="0.78740157480314965" right="0.19685039370078741" top="0.98425196850393704" bottom="0.98425196850393704" header="0.51181102362204722" footer="0.51181102362204722"/>
  <pageSetup paperSize="9" scale="8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5"/>
  <sheetViews>
    <sheetView topLeftCell="A5" workbookViewId="0">
      <selection sqref="A1:M35"/>
    </sheetView>
  </sheetViews>
  <sheetFormatPr defaultRowHeight="12.75"/>
  <cols>
    <col min="1" max="1" width="5.140625" customWidth="1"/>
    <col min="2" max="2" width="32.85546875" customWidth="1"/>
    <col min="4" max="4" width="12" customWidth="1"/>
    <col min="5" max="5" width="9.42578125" customWidth="1"/>
    <col min="6" max="6" width="13" customWidth="1"/>
    <col min="7" max="7" width="12" customWidth="1"/>
    <col min="8" max="8" width="16.28515625" customWidth="1"/>
    <col min="10" max="10" width="14.5703125" customWidth="1"/>
    <col min="11" max="11" width="12.42578125" customWidth="1"/>
    <col min="12" max="12" width="12.140625" customWidth="1"/>
    <col min="15" max="15" width="12.42578125" customWidth="1"/>
  </cols>
  <sheetData>
    <row r="1" spans="1:19">
      <c r="J1" s="28" t="s">
        <v>72</v>
      </c>
      <c r="K1" s="28"/>
    </row>
    <row r="2" spans="1:19">
      <c r="J2" s="28" t="s">
        <v>71</v>
      </c>
      <c r="K2" s="28"/>
    </row>
    <row r="4" spans="1:19" ht="15.75">
      <c r="J4" s="9" t="s">
        <v>53</v>
      </c>
    </row>
    <row r="5" spans="1:19" ht="15.75">
      <c r="J5" s="9" t="s">
        <v>80</v>
      </c>
    </row>
    <row r="6" spans="1:19" ht="15.75">
      <c r="J6" s="9" t="s">
        <v>81</v>
      </c>
    </row>
    <row r="7" spans="1:19" ht="15.75">
      <c r="J7" s="9" t="s">
        <v>82</v>
      </c>
    </row>
    <row r="8" spans="1:19" ht="15.75">
      <c r="J8" s="9" t="s">
        <v>76</v>
      </c>
    </row>
    <row r="9" spans="1:19" ht="15.75">
      <c r="J9" s="9"/>
    </row>
    <row r="10" spans="1:19" ht="15.75">
      <c r="E10" s="9"/>
      <c r="F10" s="9"/>
      <c r="G10" s="19" t="s">
        <v>52</v>
      </c>
      <c r="H10" s="19"/>
      <c r="I10" s="9"/>
      <c r="J10" s="9"/>
    </row>
    <row r="11" spans="1:19" ht="15.75">
      <c r="C11" s="43" t="s">
        <v>84</v>
      </c>
      <c r="D11" s="43"/>
      <c r="E11" s="43"/>
      <c r="F11" s="43"/>
      <c r="G11" s="43"/>
      <c r="H11" s="43"/>
      <c r="I11" s="43"/>
      <c r="J11" s="43"/>
      <c r="K11" s="43"/>
    </row>
    <row r="12" spans="1:19" ht="16.5" thickBot="1">
      <c r="A12" s="9"/>
      <c r="B12" s="9"/>
      <c r="C12" s="9"/>
      <c r="D12" s="9"/>
      <c r="E12" s="9"/>
      <c r="F12" s="9"/>
    </row>
    <row r="13" spans="1:19" ht="15.75" customHeight="1">
      <c r="A13" s="44" t="s">
        <v>39</v>
      </c>
      <c r="B13" s="46" t="s">
        <v>40</v>
      </c>
      <c r="C13" s="46" t="s">
        <v>54</v>
      </c>
      <c r="D13" s="52" t="s">
        <v>55</v>
      </c>
      <c r="E13" s="52" t="s">
        <v>56</v>
      </c>
      <c r="F13" s="46" t="s">
        <v>78</v>
      </c>
      <c r="G13" s="46" t="s">
        <v>77</v>
      </c>
      <c r="H13" s="46" t="s">
        <v>64</v>
      </c>
      <c r="I13" s="46" t="s">
        <v>57</v>
      </c>
      <c r="J13" s="52" t="s">
        <v>67</v>
      </c>
      <c r="K13" s="48" t="s">
        <v>58</v>
      </c>
      <c r="L13" s="50" t="s">
        <v>59</v>
      </c>
      <c r="Q13" s="28"/>
      <c r="R13" s="28"/>
      <c r="S13" s="28"/>
    </row>
    <row r="14" spans="1:19" ht="15.75" customHeight="1">
      <c r="A14" s="45"/>
      <c r="B14" s="47"/>
      <c r="C14" s="47"/>
      <c r="D14" s="53"/>
      <c r="E14" s="53"/>
      <c r="F14" s="47"/>
      <c r="G14" s="47"/>
      <c r="H14" s="47"/>
      <c r="I14" s="47"/>
      <c r="J14" s="53"/>
      <c r="K14" s="49"/>
      <c r="L14" s="51"/>
      <c r="Q14" s="28"/>
      <c r="R14" s="28"/>
      <c r="S14" s="28"/>
    </row>
    <row r="15" spans="1:19" ht="15.75" customHeight="1">
      <c r="A15" s="45"/>
      <c r="B15" s="47"/>
      <c r="C15" s="47"/>
      <c r="D15" s="53"/>
      <c r="E15" s="53"/>
      <c r="F15" s="47"/>
      <c r="G15" s="47"/>
      <c r="H15" s="47"/>
      <c r="I15" s="47"/>
      <c r="J15" s="53"/>
      <c r="K15" s="49"/>
      <c r="L15" s="51"/>
    </row>
    <row r="16" spans="1:19" ht="48" customHeight="1">
      <c r="A16" s="55"/>
      <c r="B16" s="56"/>
      <c r="C16" s="56"/>
      <c r="D16" s="54"/>
      <c r="E16" s="54"/>
      <c r="F16" s="47"/>
      <c r="G16" s="47"/>
      <c r="H16" s="47"/>
      <c r="I16" s="56"/>
      <c r="J16" s="54"/>
      <c r="K16" s="57"/>
      <c r="L16" s="58"/>
      <c r="O16" s="41"/>
    </row>
    <row r="17" spans="1:15" ht="21" customHeight="1">
      <c r="A17" s="17">
        <v>1</v>
      </c>
      <c r="B17" s="1" t="s">
        <v>47</v>
      </c>
      <c r="C17" s="6">
        <f>100/60</f>
        <v>1.6666666666666667</v>
      </c>
      <c r="D17" s="2">
        <v>231.97</v>
      </c>
      <c r="E17" s="6">
        <f>D17*C17</f>
        <v>386.61666666666667</v>
      </c>
      <c r="F17" s="6">
        <f>E17*1.13</f>
        <v>436.87683333333331</v>
      </c>
      <c r="G17" s="6">
        <f>F17*2.78951</f>
        <v>1218.6722953516667</v>
      </c>
      <c r="H17" s="6">
        <f>F17*0.5</f>
        <v>218.43841666666665</v>
      </c>
      <c r="I17" s="6">
        <f>F17+G17+H17</f>
        <v>1873.9875453516665</v>
      </c>
      <c r="J17" s="6">
        <f>44.5*1.023*1.074</f>
        <v>48.892239000000004</v>
      </c>
      <c r="K17" s="3">
        <f>J17+I17</f>
        <v>1922.8797843516666</v>
      </c>
      <c r="L17" s="35">
        <f>K17*1.18</f>
        <v>2268.9981455349666</v>
      </c>
      <c r="O17" s="42"/>
    </row>
    <row r="18" spans="1:15" ht="31.5" customHeight="1">
      <c r="A18" s="17">
        <v>2</v>
      </c>
      <c r="B18" s="1" t="s">
        <v>48</v>
      </c>
      <c r="C18" s="6">
        <f>111/60</f>
        <v>1.85</v>
      </c>
      <c r="D18" s="2">
        <v>231.97</v>
      </c>
      <c r="E18" s="6">
        <f>D18*C18</f>
        <v>429.14449999999999</v>
      </c>
      <c r="F18" s="6">
        <f t="shared" ref="F18:F21" si="0">E18*1.13</f>
        <v>484.93328499999996</v>
      </c>
      <c r="G18" s="6">
        <f>F18*2.78922</f>
        <v>1352.5856171876999</v>
      </c>
      <c r="H18" s="6">
        <f t="shared" ref="H18:H21" si="1">F18*0.5</f>
        <v>242.46664249999998</v>
      </c>
      <c r="I18" s="6">
        <f t="shared" ref="I18:I21" si="2">F18+G18+H18</f>
        <v>2079.9855446877</v>
      </c>
      <c r="J18" s="6">
        <f>55.24*1.023*1.074</f>
        <v>60.692298480000005</v>
      </c>
      <c r="K18" s="3">
        <f>J18+I18</f>
        <v>2140.6778431676998</v>
      </c>
      <c r="L18" s="35">
        <f t="shared" ref="L18:L21" si="3">K18*1.18</f>
        <v>2525.9998549378856</v>
      </c>
      <c r="O18" s="42"/>
    </row>
    <row r="19" spans="1:15" ht="33" customHeight="1">
      <c r="A19" s="17">
        <v>3</v>
      </c>
      <c r="B19" s="1" t="s">
        <v>49</v>
      </c>
      <c r="C19" s="6">
        <v>1.85</v>
      </c>
      <c r="D19" s="2">
        <v>231.97</v>
      </c>
      <c r="E19" s="6">
        <f>D19*C19</f>
        <v>429.14449999999999</v>
      </c>
      <c r="F19" s="6">
        <f t="shared" si="0"/>
        <v>484.93328499999996</v>
      </c>
      <c r="G19" s="6">
        <f>F19*2.78922</f>
        <v>1352.5856171876999</v>
      </c>
      <c r="H19" s="6">
        <f t="shared" si="1"/>
        <v>242.46664249999998</v>
      </c>
      <c r="I19" s="6">
        <f t="shared" si="2"/>
        <v>2079.9855446877</v>
      </c>
      <c r="J19" s="6">
        <f>55.24*1.023*1.074</f>
        <v>60.692298480000005</v>
      </c>
      <c r="K19" s="3">
        <f>J19+I19</f>
        <v>2140.6778431676998</v>
      </c>
      <c r="L19" s="35">
        <f t="shared" si="3"/>
        <v>2525.9998549378856</v>
      </c>
      <c r="O19" s="42"/>
    </row>
    <row r="20" spans="1:15" ht="19.5" customHeight="1">
      <c r="A20" s="17">
        <v>4</v>
      </c>
      <c r="B20" s="1" t="s">
        <v>50</v>
      </c>
      <c r="C20" s="6">
        <f>114/60</f>
        <v>1.9</v>
      </c>
      <c r="D20" s="2">
        <v>231.97</v>
      </c>
      <c r="E20" s="6">
        <f>D20*C20</f>
        <v>440.74299999999999</v>
      </c>
      <c r="F20" s="6">
        <f t="shared" si="0"/>
        <v>498.03958999999998</v>
      </c>
      <c r="G20" s="6">
        <f>F20*2.79045</f>
        <v>1389.7545739154998</v>
      </c>
      <c r="H20" s="6">
        <f t="shared" si="1"/>
        <v>249.01979499999999</v>
      </c>
      <c r="I20" s="6">
        <f t="shared" si="2"/>
        <v>2136.8139589154998</v>
      </c>
      <c r="J20" s="6">
        <f>98.39*1.023*1.074</f>
        <v>108.10128978</v>
      </c>
      <c r="K20" s="3">
        <f>J20+I20</f>
        <v>2244.9152486954999</v>
      </c>
      <c r="L20" s="35">
        <f t="shared" si="3"/>
        <v>2648.9999934606899</v>
      </c>
      <c r="O20" s="42"/>
    </row>
    <row r="21" spans="1:15" ht="33" customHeight="1" thickBot="1">
      <c r="A21" s="18">
        <v>5</v>
      </c>
      <c r="B21" s="4" t="s">
        <v>51</v>
      </c>
      <c r="C21" s="7">
        <f>45/60</f>
        <v>0.75</v>
      </c>
      <c r="D21" s="2">
        <v>231.97</v>
      </c>
      <c r="E21" s="7">
        <f>D21*C21</f>
        <v>173.97749999999999</v>
      </c>
      <c r="F21" s="7">
        <f t="shared" si="0"/>
        <v>196.59457499999996</v>
      </c>
      <c r="G21" s="7">
        <f>F21*2.789</f>
        <v>548.30226967499993</v>
      </c>
      <c r="H21" s="6">
        <f t="shared" si="1"/>
        <v>98.297287499999982</v>
      </c>
      <c r="I21" s="7">
        <f t="shared" si="2"/>
        <v>843.19413217499982</v>
      </c>
      <c r="J21" s="7">
        <f>30.88*1.023*1.074</f>
        <v>33.92791776</v>
      </c>
      <c r="K21" s="8">
        <f>J21+I21</f>
        <v>877.12204993499984</v>
      </c>
      <c r="L21" s="35">
        <f t="shared" si="3"/>
        <v>1035.0040189232998</v>
      </c>
      <c r="O21" s="42"/>
    </row>
    <row r="22" spans="1:15" ht="15.75">
      <c r="B22" s="10" t="s">
        <v>66</v>
      </c>
      <c r="C22" s="9"/>
      <c r="D22" s="9"/>
      <c r="O22" s="41"/>
    </row>
    <row r="23" spans="1:15" ht="15.75">
      <c r="B23" s="59" t="s">
        <v>60</v>
      </c>
      <c r="C23" s="59"/>
      <c r="D23" s="14" t="s">
        <v>62</v>
      </c>
      <c r="E23" s="12">
        <f>231.97*1.13</f>
        <v>262.12609999999995</v>
      </c>
      <c r="F23" s="9" t="s">
        <v>34</v>
      </c>
      <c r="G23" s="9"/>
      <c r="L23" s="12"/>
      <c r="M23" s="9"/>
      <c r="O23" s="41"/>
    </row>
    <row r="24" spans="1:15" ht="15.75" customHeight="1">
      <c r="B24" s="60" t="s">
        <v>61</v>
      </c>
      <c r="C24" s="60"/>
      <c r="D24" s="14" t="s">
        <v>62</v>
      </c>
      <c r="E24" s="12">
        <v>147.35</v>
      </c>
      <c r="F24" s="9" t="s">
        <v>34</v>
      </c>
      <c r="G24" s="9"/>
      <c r="L24" s="9"/>
      <c r="M24" s="9"/>
    </row>
    <row r="25" spans="1:15" ht="17.25" customHeight="1">
      <c r="B25" s="60" t="s">
        <v>75</v>
      </c>
      <c r="C25" s="60"/>
      <c r="D25" s="15" t="s">
        <v>63</v>
      </c>
      <c r="E25" s="36">
        <v>887</v>
      </c>
      <c r="F25" s="9" t="s">
        <v>34</v>
      </c>
      <c r="G25" s="9"/>
    </row>
    <row r="26" spans="1:15" ht="15.75">
      <c r="B26" s="13" t="s">
        <v>35</v>
      </c>
      <c r="C26" s="9"/>
      <c r="D26" s="9"/>
      <c r="E26" s="9"/>
      <c r="F26" s="9"/>
      <c r="G26" s="9"/>
    </row>
    <row r="27" spans="1:15" ht="15.75">
      <c r="B27" s="11" t="s">
        <v>36</v>
      </c>
      <c r="C27" s="14">
        <v>56.6</v>
      </c>
      <c r="D27" s="15" t="s">
        <v>37</v>
      </c>
      <c r="E27" s="14">
        <f>E24</f>
        <v>147.35</v>
      </c>
      <c r="F27" s="15" t="s">
        <v>38</v>
      </c>
      <c r="G27" s="23">
        <f>C27+E27</f>
        <v>203.95</v>
      </c>
      <c r="H27" s="16" t="s">
        <v>34</v>
      </c>
    </row>
    <row r="28" spans="1:15" ht="17.25" customHeight="1"/>
    <row r="29" spans="1:15" ht="17.25" customHeight="1"/>
    <row r="30" spans="1:15" ht="15.75">
      <c r="B30" s="9" t="s">
        <v>41</v>
      </c>
      <c r="C30" s="9"/>
      <c r="D30" s="9"/>
      <c r="E30" s="9"/>
      <c r="F30" s="43"/>
      <c r="G30" s="43"/>
      <c r="K30" s="43" t="s">
        <v>42</v>
      </c>
      <c r="L30" s="43"/>
    </row>
    <row r="31" spans="1:15" ht="15.75">
      <c r="B31" s="9"/>
      <c r="C31" s="9"/>
      <c r="D31" s="9"/>
      <c r="E31" s="9"/>
      <c r="F31" s="9"/>
      <c r="G31" s="9"/>
    </row>
    <row r="32" spans="1:15" ht="15.75">
      <c r="B32" s="9"/>
      <c r="C32" s="9"/>
      <c r="D32" s="9"/>
      <c r="E32" s="9"/>
      <c r="F32" s="9"/>
      <c r="G32" s="9"/>
    </row>
    <row r="33" spans="2:7" ht="15.75">
      <c r="B33" s="9"/>
      <c r="C33" s="9"/>
      <c r="D33" s="9"/>
      <c r="E33" s="9"/>
      <c r="F33" s="9"/>
      <c r="G33" s="9"/>
    </row>
    <row r="34" spans="2:7" ht="15.75">
      <c r="B34" s="9" t="s">
        <v>43</v>
      </c>
      <c r="C34" s="9"/>
      <c r="D34" s="9"/>
      <c r="E34" s="9"/>
      <c r="F34" s="9"/>
      <c r="G34" s="9"/>
    </row>
    <row r="35" spans="2:7" ht="15.75">
      <c r="B35" s="9" t="s">
        <v>44</v>
      </c>
      <c r="C35" s="9"/>
      <c r="D35" s="9"/>
      <c r="E35" s="9"/>
      <c r="F35" s="9"/>
      <c r="G35" s="9"/>
    </row>
  </sheetData>
  <mergeCells count="18">
    <mergeCell ref="C11:K11"/>
    <mergeCell ref="K13:K16"/>
    <mergeCell ref="L13:L16"/>
    <mergeCell ref="K30:L30"/>
    <mergeCell ref="G13:G16"/>
    <mergeCell ref="H13:H16"/>
    <mergeCell ref="B23:C23"/>
    <mergeCell ref="B24:C24"/>
    <mergeCell ref="B25:C25"/>
    <mergeCell ref="F30:G30"/>
    <mergeCell ref="J13:J16"/>
    <mergeCell ref="A13:A16"/>
    <mergeCell ref="B13:B16"/>
    <mergeCell ref="C13:C16"/>
    <mergeCell ref="I13:I16"/>
    <mergeCell ref="D13:D16"/>
    <mergeCell ref="E13:E16"/>
    <mergeCell ref="F13:F16"/>
  </mergeCells>
  <phoneticPr fontId="2" type="noConversion"/>
  <pageMargins left="0.39370078740157483" right="0.39370078740157483" top="0.39370078740157483" bottom="0.39370078740157483" header="0.51181102362204722" footer="0.51181102362204722"/>
  <pageSetup paperSize="9" scale="8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8"/>
  <sheetViews>
    <sheetView topLeftCell="A23" workbookViewId="0">
      <selection sqref="A1:L58"/>
    </sheetView>
  </sheetViews>
  <sheetFormatPr defaultRowHeight="12.75"/>
  <cols>
    <col min="1" max="1" width="3.85546875" customWidth="1"/>
    <col min="2" max="2" width="26.85546875" customWidth="1"/>
    <col min="4" max="4" width="11.28515625" customWidth="1"/>
    <col min="5" max="5" width="9.28515625" customWidth="1"/>
    <col min="6" max="6" width="12.42578125" customWidth="1"/>
    <col min="7" max="7" width="11.5703125" customWidth="1"/>
    <col min="8" max="8" width="9.140625" customWidth="1"/>
    <col min="9" max="9" width="10.5703125" customWidth="1"/>
    <col min="10" max="10" width="13.85546875" customWidth="1"/>
    <col min="11" max="11" width="11.140625" customWidth="1"/>
    <col min="12" max="12" width="12" customWidth="1"/>
  </cols>
  <sheetData>
    <row r="1" spans="1:12" ht="15.75">
      <c r="A1" s="9"/>
      <c r="B1" s="9"/>
      <c r="C1" s="9"/>
      <c r="D1" s="9"/>
      <c r="E1" s="9"/>
      <c r="F1" s="9"/>
      <c r="G1" s="9"/>
      <c r="H1" s="9"/>
      <c r="I1" s="28" t="s">
        <v>73</v>
      </c>
      <c r="J1" s="9"/>
      <c r="K1" s="9"/>
      <c r="L1" s="9"/>
    </row>
    <row r="2" spans="1:12" ht="15.75">
      <c r="A2" s="9"/>
      <c r="B2" s="9"/>
      <c r="C2" s="9"/>
      <c r="D2" s="9"/>
      <c r="E2" s="9"/>
      <c r="F2" s="9"/>
      <c r="G2" s="9"/>
      <c r="H2" s="9"/>
      <c r="I2" s="28" t="s">
        <v>71</v>
      </c>
      <c r="J2" s="9"/>
      <c r="K2" s="9"/>
      <c r="L2" s="9"/>
    </row>
    <row r="3" spans="1:12" ht="15.7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5.75">
      <c r="A4" s="9"/>
      <c r="B4" s="9"/>
      <c r="C4" s="9"/>
      <c r="D4" s="9"/>
      <c r="E4" s="9"/>
      <c r="F4" s="9"/>
      <c r="G4" s="9"/>
      <c r="H4" s="9"/>
      <c r="I4" s="9" t="s">
        <v>53</v>
      </c>
      <c r="L4" s="9"/>
    </row>
    <row r="5" spans="1:12" ht="15.75">
      <c r="A5" s="9"/>
      <c r="B5" s="9"/>
      <c r="C5" s="9"/>
      <c r="D5" s="9"/>
      <c r="E5" s="9"/>
      <c r="F5" s="9"/>
      <c r="G5" s="9"/>
      <c r="H5" s="9"/>
      <c r="I5" s="9" t="s">
        <v>80</v>
      </c>
      <c r="L5" s="9"/>
    </row>
    <row r="6" spans="1:12" ht="15.75">
      <c r="A6" s="9"/>
      <c r="B6" s="9"/>
      <c r="C6" s="9"/>
      <c r="D6" s="9"/>
      <c r="E6" s="9"/>
      <c r="F6" s="9"/>
      <c r="G6" s="9"/>
      <c r="H6" s="9"/>
      <c r="I6" s="9" t="s">
        <v>81</v>
      </c>
      <c r="L6" s="9"/>
    </row>
    <row r="7" spans="1:12" ht="15.75">
      <c r="A7" s="9"/>
      <c r="B7" s="9"/>
      <c r="C7" s="9"/>
      <c r="D7" s="9"/>
      <c r="E7" s="9"/>
      <c r="F7" s="9"/>
      <c r="G7" s="9"/>
      <c r="H7" s="9"/>
      <c r="I7" s="9" t="s">
        <v>82</v>
      </c>
      <c r="L7" s="9"/>
    </row>
    <row r="8" spans="1:12" ht="15.75">
      <c r="A8" s="9"/>
      <c r="B8" s="9"/>
      <c r="C8" s="9"/>
      <c r="D8" s="9"/>
      <c r="E8" s="9"/>
      <c r="F8" s="9"/>
      <c r="G8" s="9"/>
      <c r="H8" s="9"/>
      <c r="I8" s="9" t="s">
        <v>76</v>
      </c>
      <c r="J8" s="9"/>
      <c r="K8" s="9"/>
      <c r="L8" s="9"/>
    </row>
    <row r="9" spans="1:12" ht="15.7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ht="15.75">
      <c r="A10" s="9"/>
      <c r="B10" s="9"/>
      <c r="C10" s="9"/>
      <c r="D10" s="9"/>
      <c r="E10" s="9"/>
      <c r="F10" s="29" t="s">
        <v>52</v>
      </c>
      <c r="G10" s="9"/>
      <c r="H10" s="19"/>
      <c r="I10" s="9"/>
      <c r="J10" s="9"/>
      <c r="K10" s="9"/>
      <c r="L10" s="9"/>
    </row>
    <row r="11" spans="1:12" ht="15.75">
      <c r="A11" s="9"/>
      <c r="B11" s="61" t="s">
        <v>85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1:12" ht="16.5" thickBo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ht="12.75" customHeight="1">
      <c r="A13" s="44" t="s">
        <v>39</v>
      </c>
      <c r="B13" s="46" t="s">
        <v>40</v>
      </c>
      <c r="C13" s="46" t="s">
        <v>54</v>
      </c>
      <c r="D13" s="46" t="s">
        <v>55</v>
      </c>
      <c r="E13" s="46" t="s">
        <v>56</v>
      </c>
      <c r="F13" s="46" t="s">
        <v>79</v>
      </c>
      <c r="G13" s="46" t="s">
        <v>77</v>
      </c>
      <c r="H13" s="46" t="s">
        <v>64</v>
      </c>
      <c r="I13" s="46" t="s">
        <v>57</v>
      </c>
      <c r="J13" s="52" t="s">
        <v>67</v>
      </c>
      <c r="K13" s="63" t="s">
        <v>58</v>
      </c>
      <c r="L13" s="65" t="s">
        <v>59</v>
      </c>
    </row>
    <row r="14" spans="1:12" ht="12.75" customHeight="1">
      <c r="A14" s="45"/>
      <c r="B14" s="47"/>
      <c r="C14" s="47"/>
      <c r="D14" s="47"/>
      <c r="E14" s="47"/>
      <c r="F14" s="47"/>
      <c r="G14" s="47"/>
      <c r="H14" s="47"/>
      <c r="I14" s="47"/>
      <c r="J14" s="53"/>
      <c r="K14" s="64"/>
      <c r="L14" s="66"/>
    </row>
    <row r="15" spans="1:12" ht="12.75" customHeight="1">
      <c r="A15" s="45"/>
      <c r="B15" s="47"/>
      <c r="C15" s="47"/>
      <c r="D15" s="47"/>
      <c r="E15" s="47"/>
      <c r="F15" s="47"/>
      <c r="G15" s="47"/>
      <c r="H15" s="47"/>
      <c r="I15" s="47"/>
      <c r="J15" s="53"/>
      <c r="K15" s="64"/>
      <c r="L15" s="66"/>
    </row>
    <row r="16" spans="1:12" ht="69" customHeight="1">
      <c r="A16" s="45"/>
      <c r="B16" s="47"/>
      <c r="C16" s="47"/>
      <c r="D16" s="47"/>
      <c r="E16" s="47"/>
      <c r="F16" s="47"/>
      <c r="G16" s="47"/>
      <c r="H16" s="47"/>
      <c r="I16" s="47"/>
      <c r="J16" s="54"/>
      <c r="K16" s="64"/>
      <c r="L16" s="66"/>
    </row>
    <row r="17" spans="1:12" ht="15.75">
      <c r="A17" s="30">
        <v>1</v>
      </c>
      <c r="B17" s="20" t="s">
        <v>0</v>
      </c>
      <c r="C17" s="6">
        <f>86/60</f>
        <v>1.4333333333333333</v>
      </c>
      <c r="D17" s="2">
        <v>231.97</v>
      </c>
      <c r="E17" s="2">
        <f>D17*C17</f>
        <v>332.49033333333335</v>
      </c>
      <c r="F17" s="2">
        <f>E17*1.13</f>
        <v>375.71407666666664</v>
      </c>
      <c r="G17" s="2">
        <f>F17*2.7896</f>
        <v>1048.0919882693333</v>
      </c>
      <c r="H17" s="2">
        <f>F17*0.5</f>
        <v>187.85703833333332</v>
      </c>
      <c r="I17" s="2">
        <f>F17+G17+H17</f>
        <v>1611.6631032693333</v>
      </c>
      <c r="J17" s="22">
        <f>2.5*1.023*1.074</f>
        <v>2.7467549999999998</v>
      </c>
      <c r="K17" s="31">
        <f>J17+I17</f>
        <v>1614.4098582693332</v>
      </c>
      <c r="L17" s="34">
        <f>K17*1.18</f>
        <v>1905.003632757813</v>
      </c>
    </row>
    <row r="18" spans="1:12" ht="15.75">
      <c r="A18" s="30">
        <f>A17+1</f>
        <v>2</v>
      </c>
      <c r="B18" s="20" t="s">
        <v>1</v>
      </c>
      <c r="C18" s="6">
        <f>49/60</f>
        <v>0.81666666666666665</v>
      </c>
      <c r="D18" s="2">
        <v>231.97</v>
      </c>
      <c r="E18" s="2">
        <f t="shared" ref="E18:E40" si="0">D18*C18</f>
        <v>189.44216666666665</v>
      </c>
      <c r="F18" s="2">
        <f t="shared" ref="F18:F40" si="1">E18*1.13</f>
        <v>214.0696483333333</v>
      </c>
      <c r="G18" s="2">
        <f>F18*2.79098</f>
        <v>597.46410710536657</v>
      </c>
      <c r="H18" s="2">
        <f t="shared" ref="H18:H40" si="2">F18*0.5</f>
        <v>107.03482416666665</v>
      </c>
      <c r="I18" s="2">
        <f t="shared" ref="I18:I40" si="3">F18+G18+H18</f>
        <v>918.56857960536661</v>
      </c>
      <c r="J18" s="2">
        <f>10.9*1.02*1.0743</f>
        <v>11.944067400000002</v>
      </c>
      <c r="K18" s="31">
        <f t="shared" ref="K18:K40" si="4">J18+I18</f>
        <v>930.5126470053666</v>
      </c>
      <c r="L18" s="34">
        <f t="shared" ref="L18:L40" si="5">K18*1.18</f>
        <v>1098.0049234663325</v>
      </c>
    </row>
    <row r="19" spans="1:12" ht="15.75">
      <c r="A19" s="30">
        <f t="shared" ref="A19:A40" si="6">A18+1</f>
        <v>3</v>
      </c>
      <c r="B19" s="20" t="s">
        <v>2</v>
      </c>
      <c r="C19" s="6">
        <f>54/60</f>
        <v>0.9</v>
      </c>
      <c r="D19" s="2">
        <v>231.97</v>
      </c>
      <c r="E19" s="2">
        <f t="shared" si="0"/>
        <v>208.773</v>
      </c>
      <c r="F19" s="2">
        <f t="shared" si="1"/>
        <v>235.91348999999997</v>
      </c>
      <c r="G19" s="2">
        <f>F19*2.79106</f>
        <v>658.44870539939984</v>
      </c>
      <c r="H19" s="2">
        <f t="shared" si="2"/>
        <v>117.95674499999998</v>
      </c>
      <c r="I19" s="2">
        <f t="shared" si="3"/>
        <v>1012.3189403993997</v>
      </c>
      <c r="J19" s="2">
        <f>1.9*1.023*1.074</f>
        <v>2.0875337999999997</v>
      </c>
      <c r="K19" s="31">
        <f t="shared" si="4"/>
        <v>1014.4064741993997</v>
      </c>
      <c r="L19" s="34">
        <f t="shared" si="5"/>
        <v>1196.9996395552917</v>
      </c>
    </row>
    <row r="20" spans="1:12" ht="15.75">
      <c r="A20" s="30">
        <f t="shared" si="6"/>
        <v>4</v>
      </c>
      <c r="B20" s="20" t="s">
        <v>3</v>
      </c>
      <c r="C20" s="6">
        <f>42/60</f>
        <v>0.7</v>
      </c>
      <c r="D20" s="2">
        <v>231.97</v>
      </c>
      <c r="E20" s="2">
        <f t="shared" si="0"/>
        <v>162.37899999999999</v>
      </c>
      <c r="F20" s="2">
        <f t="shared" si="1"/>
        <v>183.48826999999997</v>
      </c>
      <c r="G20" s="2">
        <f>F20*2.7891</f>
        <v>511.76713385699992</v>
      </c>
      <c r="H20" s="2">
        <f t="shared" si="2"/>
        <v>91.744134999999986</v>
      </c>
      <c r="I20" s="2">
        <f t="shared" si="3"/>
        <v>786.99953885699995</v>
      </c>
      <c r="J20" s="2">
        <f>(32+3.2+0.4+5.8+9)*1.023*1.074</f>
        <v>55.374580799999997</v>
      </c>
      <c r="K20" s="31">
        <f t="shared" si="4"/>
        <v>842.37411965699994</v>
      </c>
      <c r="L20" s="34">
        <f t="shared" si="5"/>
        <v>994.00146119525982</v>
      </c>
    </row>
    <row r="21" spans="1:12" ht="15.75">
      <c r="A21" s="30">
        <f t="shared" si="6"/>
        <v>5</v>
      </c>
      <c r="B21" s="20" t="s">
        <v>4</v>
      </c>
      <c r="C21" s="6">
        <f>37/60</f>
        <v>0.6166666666666667</v>
      </c>
      <c r="D21" s="2">
        <v>231.97</v>
      </c>
      <c r="E21" s="2">
        <f t="shared" si="0"/>
        <v>143.04816666666667</v>
      </c>
      <c r="F21" s="2">
        <f t="shared" si="1"/>
        <v>161.64442833333334</v>
      </c>
      <c r="G21" s="2">
        <f>F21*2.7886</f>
        <v>450.76165285033335</v>
      </c>
      <c r="H21" s="2">
        <f t="shared" si="2"/>
        <v>80.822214166666669</v>
      </c>
      <c r="I21" s="2">
        <f t="shared" si="3"/>
        <v>693.22829535033327</v>
      </c>
      <c r="J21" s="2">
        <f>45.5*1.023*1.074</f>
        <v>49.990940999999999</v>
      </c>
      <c r="K21" s="31">
        <f t="shared" si="4"/>
        <v>743.21923635033329</v>
      </c>
      <c r="L21" s="34">
        <f t="shared" si="5"/>
        <v>876.99869889339323</v>
      </c>
    </row>
    <row r="22" spans="1:12" ht="15.75">
      <c r="A22" s="30">
        <f t="shared" si="6"/>
        <v>6</v>
      </c>
      <c r="B22" s="20" t="s">
        <v>5</v>
      </c>
      <c r="C22" s="6">
        <f>80/60</f>
        <v>1.3333333333333333</v>
      </c>
      <c r="D22" s="2">
        <v>231.97</v>
      </c>
      <c r="E22" s="2">
        <f t="shared" si="0"/>
        <v>309.29333333333329</v>
      </c>
      <c r="F22" s="2">
        <f t="shared" si="1"/>
        <v>349.5014666666666</v>
      </c>
      <c r="G22" s="2">
        <f>F22*2.78913</f>
        <v>974.80502572399985</v>
      </c>
      <c r="H22" s="2">
        <f t="shared" si="2"/>
        <v>174.7507333333333</v>
      </c>
      <c r="I22" s="2">
        <f t="shared" si="3"/>
        <v>1499.0572257239996</v>
      </c>
      <c r="J22" s="2">
        <f>13.2*1.023*1.074</f>
        <v>14.5028664</v>
      </c>
      <c r="K22" s="31">
        <f t="shared" si="4"/>
        <v>1513.5600921239995</v>
      </c>
      <c r="L22" s="34">
        <f t="shared" si="5"/>
        <v>1786.0009087063193</v>
      </c>
    </row>
    <row r="23" spans="1:12" ht="31.5">
      <c r="A23" s="30">
        <f t="shared" si="6"/>
        <v>7</v>
      </c>
      <c r="B23" s="1" t="s">
        <v>6</v>
      </c>
      <c r="C23" s="6">
        <f>24/60</f>
        <v>0.4</v>
      </c>
      <c r="D23" s="2">
        <v>231.97</v>
      </c>
      <c r="E23" s="2">
        <f t="shared" si="0"/>
        <v>92.788000000000011</v>
      </c>
      <c r="F23" s="2">
        <f t="shared" si="1"/>
        <v>104.85044000000001</v>
      </c>
      <c r="G23" s="2">
        <f>F23*2.7905</f>
        <v>292.58515282000002</v>
      </c>
      <c r="H23" s="2">
        <f t="shared" si="2"/>
        <v>52.425220000000003</v>
      </c>
      <c r="I23" s="2">
        <f t="shared" si="3"/>
        <v>449.86081282000004</v>
      </c>
      <c r="J23" s="2">
        <f>6.3*1.023*1.074</f>
        <v>6.9218225999999996</v>
      </c>
      <c r="K23" s="31">
        <f t="shared" si="4"/>
        <v>456.78263542000002</v>
      </c>
      <c r="L23" s="34">
        <f t="shared" si="5"/>
        <v>539.00350979559994</v>
      </c>
    </row>
    <row r="24" spans="1:12" ht="15.75">
      <c r="A24" s="30">
        <f t="shared" si="6"/>
        <v>8</v>
      </c>
      <c r="B24" s="20" t="s">
        <v>7</v>
      </c>
      <c r="C24" s="6">
        <f>24/60</f>
        <v>0.4</v>
      </c>
      <c r="D24" s="2">
        <v>231.97</v>
      </c>
      <c r="E24" s="2">
        <f t="shared" si="0"/>
        <v>92.788000000000011</v>
      </c>
      <c r="F24" s="2">
        <f t="shared" si="1"/>
        <v>104.85044000000001</v>
      </c>
      <c r="G24" s="2">
        <f>F24*2.7868</f>
        <v>292.19720619200001</v>
      </c>
      <c r="H24" s="2">
        <f t="shared" si="2"/>
        <v>52.425220000000003</v>
      </c>
      <c r="I24" s="2">
        <f t="shared" si="3"/>
        <v>449.47286619200003</v>
      </c>
      <c r="J24" s="2">
        <f>(0.9+36.4+4+3.6+25)*1.023*1.074</f>
        <v>76.799269800000005</v>
      </c>
      <c r="K24" s="31">
        <f t="shared" si="4"/>
        <v>526.27213599200002</v>
      </c>
      <c r="L24" s="34">
        <f t="shared" si="5"/>
        <v>621.00112047055995</v>
      </c>
    </row>
    <row r="25" spans="1:12" ht="15.75">
      <c r="A25" s="30">
        <f t="shared" si="6"/>
        <v>9</v>
      </c>
      <c r="B25" s="20" t="s">
        <v>8</v>
      </c>
      <c r="C25" s="6">
        <f>108/60</f>
        <v>1.8</v>
      </c>
      <c r="D25" s="2">
        <v>231.97</v>
      </c>
      <c r="E25" s="2">
        <f t="shared" si="0"/>
        <v>417.54599999999999</v>
      </c>
      <c r="F25" s="2">
        <f t="shared" si="1"/>
        <v>471.82697999999993</v>
      </c>
      <c r="G25" s="2">
        <f>F25*2.78915</f>
        <v>1315.9962212669998</v>
      </c>
      <c r="H25" s="2">
        <f t="shared" si="2"/>
        <v>235.91348999999997</v>
      </c>
      <c r="I25" s="2">
        <f t="shared" si="3"/>
        <v>2023.7366912669995</v>
      </c>
      <c r="J25" s="2">
        <f>55.53*1.023*1.074</f>
        <v>61.010922059999999</v>
      </c>
      <c r="K25" s="31">
        <f t="shared" si="4"/>
        <v>2084.7476133269997</v>
      </c>
      <c r="L25" s="34">
        <f t="shared" si="5"/>
        <v>2460.0021837258596</v>
      </c>
    </row>
    <row r="26" spans="1:12" ht="15.75">
      <c r="A26" s="30">
        <f t="shared" si="6"/>
        <v>10</v>
      </c>
      <c r="B26" s="20" t="s">
        <v>9</v>
      </c>
      <c r="C26" s="6">
        <f>118/60</f>
        <v>1.9666666666666666</v>
      </c>
      <c r="D26" s="2">
        <v>231.97</v>
      </c>
      <c r="E26" s="2">
        <f t="shared" si="0"/>
        <v>456.20766666666663</v>
      </c>
      <c r="F26" s="2">
        <f t="shared" si="1"/>
        <v>515.51466333333326</v>
      </c>
      <c r="G26" s="2">
        <f>F26*2.78977</f>
        <v>1438.1673423274331</v>
      </c>
      <c r="H26" s="2">
        <f t="shared" si="2"/>
        <v>257.75733166666663</v>
      </c>
      <c r="I26" s="2">
        <f t="shared" si="3"/>
        <v>2211.4393373274329</v>
      </c>
      <c r="J26" s="2">
        <f>29.7*1.023*1.074</f>
        <v>32.631449399999994</v>
      </c>
      <c r="K26" s="31">
        <f t="shared" si="4"/>
        <v>2244.0707867274327</v>
      </c>
      <c r="L26" s="34">
        <f t="shared" si="5"/>
        <v>2648.0035283383704</v>
      </c>
    </row>
    <row r="27" spans="1:12" ht="15.75">
      <c r="A27" s="30">
        <f t="shared" si="6"/>
        <v>11</v>
      </c>
      <c r="B27" s="20" t="s">
        <v>10</v>
      </c>
      <c r="C27" s="6">
        <f>96/60</f>
        <v>1.6</v>
      </c>
      <c r="D27" s="2">
        <v>231.97</v>
      </c>
      <c r="E27" s="2">
        <f t="shared" si="0"/>
        <v>371.15200000000004</v>
      </c>
      <c r="F27" s="2">
        <f t="shared" si="1"/>
        <v>419.40176000000002</v>
      </c>
      <c r="G27" s="2">
        <f>F27*2.79077</f>
        <v>1170.4538497552001</v>
      </c>
      <c r="H27" s="2">
        <f t="shared" si="2"/>
        <v>209.70088000000001</v>
      </c>
      <c r="I27" s="2">
        <f t="shared" si="3"/>
        <v>1799.5564897552001</v>
      </c>
      <c r="J27" s="2">
        <f>75.22*1.023*1.074</f>
        <v>82.644364440000004</v>
      </c>
      <c r="K27" s="31">
        <f t="shared" si="4"/>
        <v>1882.2008541952</v>
      </c>
      <c r="L27" s="34">
        <f t="shared" si="5"/>
        <v>2220.997007950336</v>
      </c>
    </row>
    <row r="28" spans="1:12" ht="15.75">
      <c r="A28" s="30">
        <f t="shared" si="6"/>
        <v>12</v>
      </c>
      <c r="B28" s="20" t="s">
        <v>11</v>
      </c>
      <c r="C28" s="6">
        <f>101/60</f>
        <v>1.6833333333333333</v>
      </c>
      <c r="D28" s="2">
        <v>231.97</v>
      </c>
      <c r="E28" s="2">
        <f t="shared" si="0"/>
        <v>390.48283333333336</v>
      </c>
      <c r="F28" s="2">
        <f t="shared" si="1"/>
        <v>441.24560166666663</v>
      </c>
      <c r="G28" s="2">
        <f t="shared" ref="G28" si="7">F28*2.79</f>
        <v>1231.0752286499999</v>
      </c>
      <c r="H28" s="2">
        <f t="shared" si="2"/>
        <v>220.62280083333332</v>
      </c>
      <c r="I28" s="2">
        <f t="shared" si="3"/>
        <v>1892.9436311499999</v>
      </c>
      <c r="J28" s="2">
        <f>23.48*1*1.07423</f>
        <v>25.2229204</v>
      </c>
      <c r="K28" s="31">
        <f t="shared" si="4"/>
        <v>1918.1665515499999</v>
      </c>
      <c r="L28" s="34">
        <f t="shared" si="5"/>
        <v>2263.4365308289998</v>
      </c>
    </row>
    <row r="29" spans="1:12" ht="15.75">
      <c r="A29" s="30">
        <f t="shared" si="6"/>
        <v>13</v>
      </c>
      <c r="B29" s="20" t="s">
        <v>12</v>
      </c>
      <c r="C29" s="6">
        <f>103/60</f>
        <v>1.7166666666666666</v>
      </c>
      <c r="D29" s="2">
        <v>231.97</v>
      </c>
      <c r="E29" s="2">
        <f t="shared" si="0"/>
        <v>398.21516666666662</v>
      </c>
      <c r="F29" s="2">
        <f t="shared" si="1"/>
        <v>449.98313833333322</v>
      </c>
      <c r="G29" s="2">
        <f>F29*2.78957</f>
        <v>1255.2594632005164</v>
      </c>
      <c r="H29" s="2">
        <f t="shared" si="2"/>
        <v>224.99156916666661</v>
      </c>
      <c r="I29" s="2">
        <f t="shared" si="3"/>
        <v>1930.2341707005162</v>
      </c>
      <c r="J29" s="2">
        <f>58.1*1.023*1.074</f>
        <v>63.834586199999997</v>
      </c>
      <c r="K29" s="31">
        <f t="shared" si="4"/>
        <v>1994.0687569005163</v>
      </c>
      <c r="L29" s="34">
        <f t="shared" si="5"/>
        <v>2353.001133142609</v>
      </c>
    </row>
    <row r="30" spans="1:12" ht="15.75">
      <c r="A30" s="30">
        <f t="shared" si="6"/>
        <v>14</v>
      </c>
      <c r="B30" s="20" t="s">
        <v>13</v>
      </c>
      <c r="C30" s="6">
        <f>39/60</f>
        <v>0.65</v>
      </c>
      <c r="D30" s="2">
        <v>231.97</v>
      </c>
      <c r="E30" s="2">
        <f t="shared" si="0"/>
        <v>150.78050000000002</v>
      </c>
      <c r="F30" s="2">
        <f t="shared" si="1"/>
        <v>170.38196500000001</v>
      </c>
      <c r="G30" s="2">
        <f>F30*2.79244</f>
        <v>475.78141434460002</v>
      </c>
      <c r="H30" s="2">
        <f t="shared" si="2"/>
        <v>85.190982500000004</v>
      </c>
      <c r="I30" s="2">
        <f t="shared" si="3"/>
        <v>731.35436184460002</v>
      </c>
      <c r="J30" s="2"/>
      <c r="K30" s="31">
        <f t="shared" si="4"/>
        <v>731.35436184460002</v>
      </c>
      <c r="L30" s="34">
        <f t="shared" si="5"/>
        <v>862.99814697662794</v>
      </c>
    </row>
    <row r="31" spans="1:12" ht="15.75">
      <c r="A31" s="30">
        <f t="shared" si="6"/>
        <v>15</v>
      </c>
      <c r="B31" s="20" t="s">
        <v>14</v>
      </c>
      <c r="C31" s="6">
        <f>117/60</f>
        <v>1.95</v>
      </c>
      <c r="D31" s="2">
        <v>231.97</v>
      </c>
      <c r="E31" s="2">
        <f t="shared" si="0"/>
        <v>452.3415</v>
      </c>
      <c r="F31" s="2">
        <f t="shared" si="1"/>
        <v>511.14589499999994</v>
      </c>
      <c r="G31" s="2">
        <f>F31*2.78919</f>
        <v>1425.6830188750498</v>
      </c>
      <c r="H31" s="2">
        <f t="shared" si="2"/>
        <v>255.57294749999997</v>
      </c>
      <c r="I31" s="2">
        <f t="shared" si="3"/>
        <v>2192.4018613750495</v>
      </c>
      <c r="J31" s="2">
        <f>10*1.023*1.074</f>
        <v>10.987019999999999</v>
      </c>
      <c r="K31" s="31">
        <f t="shared" si="4"/>
        <v>2203.3888813750496</v>
      </c>
      <c r="L31" s="34">
        <f t="shared" si="5"/>
        <v>2599.9988800225583</v>
      </c>
    </row>
    <row r="32" spans="1:12" ht="15.75">
      <c r="A32" s="30">
        <f t="shared" si="6"/>
        <v>16</v>
      </c>
      <c r="B32" s="20" t="s">
        <v>15</v>
      </c>
      <c r="C32" s="6">
        <f>84/60</f>
        <v>1.4</v>
      </c>
      <c r="D32" s="2">
        <v>231.97</v>
      </c>
      <c r="E32" s="2">
        <f t="shared" si="0"/>
        <v>324.75799999999998</v>
      </c>
      <c r="F32" s="2">
        <f t="shared" si="1"/>
        <v>366.97653999999994</v>
      </c>
      <c r="G32" s="2">
        <f>F32*2.79063</f>
        <v>1024.0957418201999</v>
      </c>
      <c r="H32" s="2">
        <f t="shared" si="2"/>
        <v>183.48826999999997</v>
      </c>
      <c r="I32" s="2">
        <f t="shared" si="3"/>
        <v>1574.5605518201999</v>
      </c>
      <c r="J32" s="2">
        <f>19.3*1.023*1.074</f>
        <v>21.204948600000002</v>
      </c>
      <c r="K32" s="31">
        <f t="shared" si="4"/>
        <v>1595.7655004201999</v>
      </c>
      <c r="L32" s="34">
        <f t="shared" si="5"/>
        <v>1883.0032904958359</v>
      </c>
    </row>
    <row r="33" spans="1:12" ht="15.75">
      <c r="A33" s="30">
        <f t="shared" si="6"/>
        <v>17</v>
      </c>
      <c r="B33" s="20" t="s">
        <v>16</v>
      </c>
      <c r="C33" s="6">
        <f>91/60</f>
        <v>1.5166666666666666</v>
      </c>
      <c r="D33" s="2">
        <v>231.97</v>
      </c>
      <c r="E33" s="2">
        <f t="shared" si="0"/>
        <v>351.82116666666667</v>
      </c>
      <c r="F33" s="2">
        <f t="shared" si="1"/>
        <v>397.5579183333333</v>
      </c>
      <c r="G33" s="2">
        <f>F33*2.78985</f>
        <v>1109.1269584622498</v>
      </c>
      <c r="H33" s="2">
        <f t="shared" si="2"/>
        <v>198.77895916666665</v>
      </c>
      <c r="I33" s="2">
        <f t="shared" si="3"/>
        <v>1705.4638359622497</v>
      </c>
      <c r="J33" s="2">
        <f>12*1.023*1.074</f>
        <v>13.184424</v>
      </c>
      <c r="K33" s="31">
        <f t="shared" si="4"/>
        <v>1718.6482599622498</v>
      </c>
      <c r="L33" s="34">
        <f t="shared" si="5"/>
        <v>2028.0049467554545</v>
      </c>
    </row>
    <row r="34" spans="1:12" ht="15.75">
      <c r="A34" s="30">
        <f t="shared" si="6"/>
        <v>18</v>
      </c>
      <c r="B34" s="20" t="s">
        <v>17</v>
      </c>
      <c r="C34" s="6">
        <f>15/60</f>
        <v>0.25</v>
      </c>
      <c r="D34" s="2">
        <v>231.97</v>
      </c>
      <c r="E34" s="2">
        <f t="shared" si="0"/>
        <v>57.9925</v>
      </c>
      <c r="F34" s="2">
        <f t="shared" si="1"/>
        <v>65.531524999999988</v>
      </c>
      <c r="G34" s="2">
        <f>F34*2.7955</f>
        <v>183.19337813749996</v>
      </c>
      <c r="H34" s="2">
        <f t="shared" si="2"/>
        <v>32.765762499999994</v>
      </c>
      <c r="I34" s="2">
        <f t="shared" si="3"/>
        <v>281.49066563749994</v>
      </c>
      <c r="J34" s="2">
        <f>125.6*1.023*1.074</f>
        <v>137.99697119999996</v>
      </c>
      <c r="K34" s="31">
        <f t="shared" si="4"/>
        <v>419.48763683749991</v>
      </c>
      <c r="L34" s="34">
        <f t="shared" si="5"/>
        <v>494.99541146824987</v>
      </c>
    </row>
    <row r="35" spans="1:12" ht="15.75">
      <c r="A35" s="30">
        <f t="shared" si="6"/>
        <v>19</v>
      </c>
      <c r="B35" s="20" t="s">
        <v>18</v>
      </c>
      <c r="C35" s="6">
        <f>25/60</f>
        <v>0.41666666666666669</v>
      </c>
      <c r="D35" s="2">
        <v>231.97</v>
      </c>
      <c r="E35" s="2">
        <f t="shared" si="0"/>
        <v>96.654166666666669</v>
      </c>
      <c r="F35" s="2">
        <f t="shared" si="1"/>
        <v>109.21920833333333</v>
      </c>
      <c r="G35" s="2">
        <f>F35*2.789</f>
        <v>304.61237204166667</v>
      </c>
      <c r="H35" s="2">
        <f t="shared" si="2"/>
        <v>54.609604166666664</v>
      </c>
      <c r="I35" s="2">
        <f t="shared" si="3"/>
        <v>468.44118454166664</v>
      </c>
      <c r="J35" s="2">
        <f>2.5*1.023*1.074</f>
        <v>2.7467549999999998</v>
      </c>
      <c r="K35" s="31">
        <f t="shared" si="4"/>
        <v>471.18793954166665</v>
      </c>
      <c r="L35" s="34">
        <f t="shared" si="5"/>
        <v>556.0017686591666</v>
      </c>
    </row>
    <row r="36" spans="1:12" ht="15.75">
      <c r="A36" s="30">
        <f t="shared" si="6"/>
        <v>20</v>
      </c>
      <c r="B36" s="20" t="s">
        <v>19</v>
      </c>
      <c r="C36" s="6">
        <f>15/60</f>
        <v>0.25</v>
      </c>
      <c r="D36" s="2">
        <v>231.97</v>
      </c>
      <c r="E36" s="2">
        <f t="shared" si="0"/>
        <v>57.9925</v>
      </c>
      <c r="F36" s="2">
        <f t="shared" si="1"/>
        <v>65.531524999999988</v>
      </c>
      <c r="G36" s="2">
        <f>F36*2.7876</f>
        <v>182.67567908999996</v>
      </c>
      <c r="H36" s="2">
        <f t="shared" si="2"/>
        <v>32.765762499999994</v>
      </c>
      <c r="I36" s="2">
        <f t="shared" si="3"/>
        <v>280.97296658999994</v>
      </c>
      <c r="J36" s="2">
        <f>4.3*1*1.07423</f>
        <v>4.6191889999999995</v>
      </c>
      <c r="K36" s="31">
        <f t="shared" si="4"/>
        <v>285.59215558999995</v>
      </c>
      <c r="L36" s="34">
        <f t="shared" si="5"/>
        <v>336.99874359619992</v>
      </c>
    </row>
    <row r="37" spans="1:12" ht="15.75">
      <c r="A37" s="30">
        <f t="shared" si="6"/>
        <v>21</v>
      </c>
      <c r="B37" s="20" t="s">
        <v>20</v>
      </c>
      <c r="C37" s="6">
        <f>3/60</f>
        <v>0.05</v>
      </c>
      <c r="D37" s="2">
        <v>231.97</v>
      </c>
      <c r="E37" s="2">
        <f t="shared" si="0"/>
        <v>11.598500000000001</v>
      </c>
      <c r="F37" s="2">
        <f t="shared" si="1"/>
        <v>13.106305000000001</v>
      </c>
      <c r="G37" s="2">
        <f>F37*2.7677</f>
        <v>36.274320348500005</v>
      </c>
      <c r="H37" s="2">
        <f t="shared" si="2"/>
        <v>6.5531525000000004</v>
      </c>
      <c r="I37" s="2">
        <f t="shared" si="3"/>
        <v>55.933777848500007</v>
      </c>
      <c r="J37" s="2"/>
      <c r="K37" s="31">
        <f t="shared" si="4"/>
        <v>55.933777848500007</v>
      </c>
      <c r="L37" s="34">
        <f t="shared" si="5"/>
        <v>66.001857861230008</v>
      </c>
    </row>
    <row r="38" spans="1:12" ht="15.75">
      <c r="A38" s="30">
        <f t="shared" si="6"/>
        <v>22</v>
      </c>
      <c r="B38" s="20" t="s">
        <v>21</v>
      </c>
      <c r="C38" s="6">
        <f>8/60</f>
        <v>0.13333333333333333</v>
      </c>
      <c r="D38" s="2">
        <v>231.97</v>
      </c>
      <c r="E38" s="2">
        <f t="shared" si="0"/>
        <v>30.929333333333332</v>
      </c>
      <c r="F38" s="2">
        <f t="shared" si="1"/>
        <v>34.950146666666662</v>
      </c>
      <c r="G38" s="2">
        <f>F38*2.7919</f>
        <v>97.577314478666651</v>
      </c>
      <c r="H38" s="2">
        <f t="shared" si="2"/>
        <v>17.475073333333331</v>
      </c>
      <c r="I38" s="2">
        <f t="shared" si="3"/>
        <v>150.00253447866666</v>
      </c>
      <c r="J38" s="2"/>
      <c r="K38" s="31">
        <f t="shared" si="4"/>
        <v>150.00253447866666</v>
      </c>
      <c r="L38" s="34">
        <f t="shared" si="5"/>
        <v>177.00299068482664</v>
      </c>
    </row>
    <row r="39" spans="1:12" ht="15.75">
      <c r="A39" s="30">
        <f t="shared" si="6"/>
        <v>23</v>
      </c>
      <c r="B39" s="20" t="s">
        <v>22</v>
      </c>
      <c r="C39" s="6">
        <f>19/60</f>
        <v>0.31666666666666665</v>
      </c>
      <c r="D39" s="2">
        <v>231.97</v>
      </c>
      <c r="E39" s="2">
        <f t="shared" si="0"/>
        <v>73.457166666666666</v>
      </c>
      <c r="F39" s="2">
        <f t="shared" si="1"/>
        <v>83.006598333333329</v>
      </c>
      <c r="G39" s="2">
        <f>F39*2.788</f>
        <v>231.4223961533333</v>
      </c>
      <c r="H39" s="2">
        <f t="shared" si="2"/>
        <v>41.503299166666665</v>
      </c>
      <c r="I39" s="2">
        <f t="shared" si="3"/>
        <v>355.93229365333332</v>
      </c>
      <c r="J39" s="2"/>
      <c r="K39" s="31">
        <f t="shared" si="4"/>
        <v>355.93229365333332</v>
      </c>
      <c r="L39" s="34">
        <f t="shared" si="5"/>
        <v>420.00010651093328</v>
      </c>
    </row>
    <row r="40" spans="1:12" ht="16.5" thickBot="1">
      <c r="A40" s="32">
        <f t="shared" si="6"/>
        <v>24</v>
      </c>
      <c r="B40" s="21" t="s">
        <v>23</v>
      </c>
      <c r="C40" s="7">
        <f>38/60</f>
        <v>0.6333333333333333</v>
      </c>
      <c r="D40" s="2">
        <v>231.97</v>
      </c>
      <c r="E40" s="5">
        <f t="shared" si="0"/>
        <v>146.91433333333333</v>
      </c>
      <c r="F40" s="2">
        <f t="shared" si="1"/>
        <v>166.01319666666666</v>
      </c>
      <c r="G40" s="2">
        <f>F40*2.7883</f>
        <v>462.89459626566662</v>
      </c>
      <c r="H40" s="2">
        <f t="shared" si="2"/>
        <v>83.006598333333329</v>
      </c>
      <c r="I40" s="2">
        <f t="shared" si="3"/>
        <v>711.91439126566661</v>
      </c>
      <c r="J40" s="5">
        <f>1.5*1.023*1.074</f>
        <v>1.648053</v>
      </c>
      <c r="K40" s="33">
        <f t="shared" si="4"/>
        <v>713.56244426566661</v>
      </c>
      <c r="L40" s="34">
        <f t="shared" si="5"/>
        <v>842.00368423348652</v>
      </c>
    </row>
    <row r="41" spans="1:12" ht="15.75">
      <c r="A41" s="9"/>
      <c r="B41" s="10" t="s">
        <v>66</v>
      </c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ht="15.75">
      <c r="A42" s="9"/>
      <c r="B42" s="59" t="s">
        <v>60</v>
      </c>
      <c r="C42" s="59"/>
      <c r="D42" s="14" t="s">
        <v>62</v>
      </c>
      <c r="E42" s="12">
        <f>231.97*1.13</f>
        <v>262.12609999999995</v>
      </c>
      <c r="F42" s="9" t="s">
        <v>34</v>
      </c>
      <c r="G42" s="9"/>
      <c r="H42" s="9"/>
      <c r="I42" s="9"/>
      <c r="J42" s="9"/>
      <c r="K42" s="9"/>
      <c r="L42" s="12"/>
    </row>
    <row r="43" spans="1:12" ht="15.75">
      <c r="A43" s="9"/>
      <c r="B43" s="60" t="s">
        <v>61</v>
      </c>
      <c r="C43" s="60"/>
      <c r="D43" s="14" t="s">
        <v>62</v>
      </c>
      <c r="E43" s="12">
        <f>БАК!E24</f>
        <v>147.35</v>
      </c>
      <c r="F43" s="9" t="s">
        <v>34</v>
      </c>
      <c r="G43" s="9"/>
      <c r="H43" s="9"/>
      <c r="I43" s="9"/>
      <c r="J43" s="9"/>
      <c r="K43" s="9"/>
      <c r="L43" s="9"/>
    </row>
    <row r="44" spans="1:12" ht="15.75">
      <c r="A44" s="9"/>
      <c r="B44" s="60" t="s">
        <v>75</v>
      </c>
      <c r="C44" s="60"/>
      <c r="D44" s="26" t="s">
        <v>63</v>
      </c>
      <c r="E44" s="36">
        <f>БАК!E25</f>
        <v>887</v>
      </c>
      <c r="F44" s="9" t="s">
        <v>34</v>
      </c>
      <c r="G44" s="9"/>
      <c r="H44" s="9"/>
      <c r="I44" s="9"/>
      <c r="J44" s="9"/>
      <c r="K44" s="9"/>
      <c r="L44" s="9"/>
    </row>
    <row r="45" spans="1:12" ht="15.75">
      <c r="A45" s="9"/>
      <c r="B45" s="13" t="s">
        <v>35</v>
      </c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ht="15.75">
      <c r="A46" s="9"/>
      <c r="B46" s="27" t="s">
        <v>36</v>
      </c>
      <c r="C46" s="14">
        <v>56.6</v>
      </c>
      <c r="D46" s="26" t="s">
        <v>37</v>
      </c>
      <c r="E46" s="14">
        <f>E43</f>
        <v>147.35</v>
      </c>
      <c r="F46" s="26" t="s">
        <v>38</v>
      </c>
      <c r="G46" s="23">
        <f>C46+E46</f>
        <v>203.95</v>
      </c>
      <c r="H46" s="16" t="s">
        <v>34</v>
      </c>
      <c r="I46" s="9"/>
      <c r="J46" s="9"/>
      <c r="K46" s="9"/>
      <c r="L46" s="9"/>
    </row>
    <row r="47" spans="1:12" ht="17.2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ht="18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</row>
    <row r="49" spans="1:12" ht="15.75">
      <c r="A49" s="9"/>
      <c r="B49" s="9" t="s">
        <v>41</v>
      </c>
      <c r="C49" s="9"/>
      <c r="D49" s="9"/>
      <c r="E49" s="9"/>
      <c r="F49" s="43"/>
      <c r="G49" s="43"/>
      <c r="H49" s="9"/>
      <c r="I49" s="9"/>
      <c r="J49" s="9"/>
      <c r="K49" s="43" t="s">
        <v>42</v>
      </c>
      <c r="L49" s="43"/>
    </row>
    <row r="50" spans="1:12" ht="15.7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2" ht="15.7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2" ht="15.7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12" ht="15.7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 ht="15.7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</row>
    <row r="55" spans="1:12" ht="15.7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</row>
    <row r="56" spans="1:12" ht="15.7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 ht="15.75">
      <c r="B57" s="9" t="s">
        <v>43</v>
      </c>
    </row>
    <row r="58" spans="1:12" ht="15.75">
      <c r="B58" s="9" t="s">
        <v>44</v>
      </c>
    </row>
  </sheetData>
  <mergeCells count="18">
    <mergeCell ref="K49:L49"/>
    <mergeCell ref="J13:J16"/>
    <mergeCell ref="K13:K16"/>
    <mergeCell ref="L13:L16"/>
    <mergeCell ref="F49:G49"/>
    <mergeCell ref="B11:L11"/>
    <mergeCell ref="B42:C42"/>
    <mergeCell ref="B43:C43"/>
    <mergeCell ref="B44:C44"/>
    <mergeCell ref="A13:A16"/>
    <mergeCell ref="B13:B16"/>
    <mergeCell ref="C13:C16"/>
    <mergeCell ref="D13:D16"/>
    <mergeCell ref="E13:E16"/>
    <mergeCell ref="F13:F16"/>
    <mergeCell ref="G13:G16"/>
    <mergeCell ref="H13:H16"/>
    <mergeCell ref="I13:I16"/>
  </mergeCells>
  <phoneticPr fontId="2" type="noConversion"/>
  <pageMargins left="0.78740157480314965" right="0.39370078740157483" top="0.39370078740157483" bottom="0.39370078740157483" header="0.51181102362204722" footer="0.31496062992125984"/>
  <pageSetup paperSize="9" scale="96" fitToHeight="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9"/>
  <sheetViews>
    <sheetView tabSelected="1" topLeftCell="A30" workbookViewId="0">
      <selection sqref="A1:M60"/>
    </sheetView>
  </sheetViews>
  <sheetFormatPr defaultRowHeight="12.75"/>
  <cols>
    <col min="1" max="1" width="4.140625" customWidth="1"/>
    <col min="2" max="2" width="21.28515625" customWidth="1"/>
    <col min="4" max="4" width="11.7109375" customWidth="1"/>
    <col min="5" max="5" width="10" customWidth="1"/>
    <col min="6" max="6" width="9.140625" customWidth="1"/>
    <col min="7" max="7" width="11.5703125" customWidth="1"/>
    <col min="8" max="8" width="10.5703125" customWidth="1"/>
    <col min="9" max="9" width="10.85546875" customWidth="1"/>
    <col min="10" max="10" width="13.5703125" customWidth="1"/>
    <col min="11" max="12" width="11.42578125" customWidth="1"/>
    <col min="13" max="13" width="10.7109375" customWidth="1"/>
  </cols>
  <sheetData>
    <row r="1" spans="1:12">
      <c r="J1" s="28" t="s">
        <v>74</v>
      </c>
    </row>
    <row r="2" spans="1:12">
      <c r="J2" s="28" t="s">
        <v>71</v>
      </c>
    </row>
    <row r="4" spans="1:12" ht="15.75">
      <c r="J4" s="9"/>
    </row>
    <row r="5" spans="1:12" ht="15.75">
      <c r="J5" s="9" t="s">
        <v>53</v>
      </c>
    </row>
    <row r="6" spans="1:12" ht="15.75">
      <c r="J6" s="9" t="s">
        <v>80</v>
      </c>
    </row>
    <row r="7" spans="1:12" ht="15.75">
      <c r="J7" s="9" t="s">
        <v>81</v>
      </c>
    </row>
    <row r="8" spans="1:12" ht="15.75">
      <c r="J8" s="9" t="s">
        <v>82</v>
      </c>
    </row>
    <row r="9" spans="1:12" ht="15.75">
      <c r="J9" s="9" t="s">
        <v>76</v>
      </c>
    </row>
    <row r="10" spans="1:12" ht="18.75" customHeight="1"/>
    <row r="11" spans="1:12" ht="15.75">
      <c r="E11" s="9"/>
      <c r="F11" s="9"/>
      <c r="G11" s="19" t="s">
        <v>52</v>
      </c>
      <c r="H11" s="19"/>
      <c r="I11" s="9"/>
      <c r="J11" s="9"/>
    </row>
    <row r="12" spans="1:12" ht="15.75">
      <c r="B12" s="43" t="s">
        <v>86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</row>
    <row r="13" spans="1:12" ht="18" customHeight="1" thickBot="1"/>
    <row r="14" spans="1:12" ht="12.75" customHeight="1">
      <c r="A14" s="44" t="s">
        <v>39</v>
      </c>
      <c r="B14" s="46" t="s">
        <v>40</v>
      </c>
      <c r="C14" s="46" t="s">
        <v>54</v>
      </c>
      <c r="D14" s="46" t="s">
        <v>55</v>
      </c>
      <c r="E14" s="46" t="s">
        <v>56</v>
      </c>
      <c r="F14" s="46" t="s">
        <v>78</v>
      </c>
      <c r="G14" s="46" t="s">
        <v>77</v>
      </c>
      <c r="H14" s="46" t="s">
        <v>64</v>
      </c>
      <c r="I14" s="46" t="s">
        <v>57</v>
      </c>
      <c r="J14" s="52" t="s">
        <v>67</v>
      </c>
      <c r="K14" s="48" t="s">
        <v>58</v>
      </c>
      <c r="L14" s="50" t="s">
        <v>59</v>
      </c>
    </row>
    <row r="15" spans="1:12" ht="12.75" customHeight="1">
      <c r="A15" s="45"/>
      <c r="B15" s="47"/>
      <c r="C15" s="47"/>
      <c r="D15" s="47"/>
      <c r="E15" s="47"/>
      <c r="F15" s="47"/>
      <c r="G15" s="47"/>
      <c r="H15" s="47"/>
      <c r="I15" s="47"/>
      <c r="J15" s="53"/>
      <c r="K15" s="49"/>
      <c r="L15" s="51"/>
    </row>
    <row r="16" spans="1:12" ht="12.75" customHeight="1">
      <c r="A16" s="45"/>
      <c r="B16" s="47"/>
      <c r="C16" s="47"/>
      <c r="D16" s="47"/>
      <c r="E16" s="47"/>
      <c r="F16" s="47"/>
      <c r="G16" s="47"/>
      <c r="H16" s="47"/>
      <c r="I16" s="47"/>
      <c r="J16" s="53"/>
      <c r="K16" s="49"/>
      <c r="L16" s="51"/>
    </row>
    <row r="17" spans="1:12" ht="70.5" customHeight="1">
      <c r="A17" s="45"/>
      <c r="B17" s="47"/>
      <c r="C17" s="47"/>
      <c r="D17" s="47"/>
      <c r="E17" s="47"/>
      <c r="F17" s="47"/>
      <c r="G17" s="47"/>
      <c r="H17" s="47"/>
      <c r="I17" s="47"/>
      <c r="J17" s="54"/>
      <c r="K17" s="49"/>
      <c r="L17" s="51"/>
    </row>
    <row r="18" spans="1:12" ht="15.75">
      <c r="A18" s="24">
        <v>1</v>
      </c>
      <c r="B18" s="1" t="s">
        <v>0</v>
      </c>
      <c r="C18" s="6">
        <f>90/60</f>
        <v>1.5</v>
      </c>
      <c r="D18" s="2">
        <v>231.97</v>
      </c>
      <c r="E18" s="2">
        <f>D18*C18</f>
        <v>347.95499999999998</v>
      </c>
      <c r="F18" s="2">
        <f>E18*1.13</f>
        <v>393.18914999999993</v>
      </c>
      <c r="G18" s="2">
        <f>F18*2.79077</f>
        <v>1097.3004841454999</v>
      </c>
      <c r="H18" s="2">
        <f>F18*0.5</f>
        <v>196.59457499999996</v>
      </c>
      <c r="I18" s="2">
        <f>F18+G18+H18</f>
        <v>1687.0842091454997</v>
      </c>
      <c r="J18" s="2">
        <f>2.5*1.023*1.074</f>
        <v>2.7467549999999998</v>
      </c>
      <c r="K18" s="3">
        <f>J18+I18</f>
        <v>1689.8309641454996</v>
      </c>
      <c r="L18" s="35">
        <f>K18*1.18</f>
        <v>1994.0005376916895</v>
      </c>
    </row>
    <row r="19" spans="1:12" ht="15.75">
      <c r="A19" s="24">
        <f>A18+1</f>
        <v>2</v>
      </c>
      <c r="B19" s="1" t="s">
        <v>1</v>
      </c>
      <c r="C19" s="6">
        <f>95/60</f>
        <v>1.5833333333333333</v>
      </c>
      <c r="D19" s="2">
        <v>231.97</v>
      </c>
      <c r="E19" s="2">
        <f t="shared" ref="E19:E39" si="0">D19*C19</f>
        <v>367.2858333333333</v>
      </c>
      <c r="F19" s="2">
        <f t="shared" ref="F19:F39" si="1">E19*1.13</f>
        <v>415.03299166666659</v>
      </c>
      <c r="G19" s="2">
        <f>F19*2.78978</f>
        <v>1157.8507394918331</v>
      </c>
      <c r="H19" s="2">
        <f t="shared" ref="H19:H39" si="2">F19*0.5</f>
        <v>207.51649583333329</v>
      </c>
      <c r="I19" s="2">
        <f t="shared" ref="I19:I39" si="3">F19+G19+H19</f>
        <v>1780.4002269918331</v>
      </c>
      <c r="J19" s="2">
        <f>10.9*1.023*1.074</f>
        <v>11.975851799999999</v>
      </c>
      <c r="K19" s="3">
        <f t="shared" ref="K19:K39" si="4">J19+I19</f>
        <v>1792.3760787918332</v>
      </c>
      <c r="L19" s="35">
        <f t="shared" ref="L19:L39" si="5">K19*1.18</f>
        <v>2115.0037729743631</v>
      </c>
    </row>
    <row r="20" spans="1:12" ht="15.75">
      <c r="A20" s="24">
        <f t="shared" ref="A20:A39" si="6">A19+1</f>
        <v>3</v>
      </c>
      <c r="B20" s="1" t="s">
        <v>2</v>
      </c>
      <c r="C20" s="6">
        <f>101/60</f>
        <v>1.6833333333333333</v>
      </c>
      <c r="D20" s="2">
        <v>231.97</v>
      </c>
      <c r="E20" s="2">
        <f t="shared" si="0"/>
        <v>390.48283333333336</v>
      </c>
      <c r="F20" s="2">
        <f t="shared" si="1"/>
        <v>441.24560166666663</v>
      </c>
      <c r="G20" s="2">
        <f>F20*2.78973</f>
        <v>1230.95609233755</v>
      </c>
      <c r="H20" s="2">
        <f t="shared" si="2"/>
        <v>220.62280083333332</v>
      </c>
      <c r="I20" s="2">
        <f t="shared" si="3"/>
        <v>1892.82449483755</v>
      </c>
      <c r="J20" s="2">
        <f>1.9*1.023*1.074</f>
        <v>2.0875337999999997</v>
      </c>
      <c r="K20" s="3">
        <f t="shared" si="4"/>
        <v>1894.9120286375501</v>
      </c>
      <c r="L20" s="35">
        <f t="shared" si="5"/>
        <v>2235.996193792309</v>
      </c>
    </row>
    <row r="21" spans="1:12" ht="15.75">
      <c r="A21" s="24">
        <f t="shared" si="6"/>
        <v>4</v>
      </c>
      <c r="B21" s="1" t="s">
        <v>24</v>
      </c>
      <c r="C21" s="6">
        <f>100/60</f>
        <v>1.6666666666666667</v>
      </c>
      <c r="D21" s="2">
        <v>231.97</v>
      </c>
      <c r="E21" s="2">
        <f t="shared" si="0"/>
        <v>386.61666666666667</v>
      </c>
      <c r="F21" s="2">
        <f t="shared" si="1"/>
        <v>436.87683333333331</v>
      </c>
      <c r="G21" s="2">
        <f>F21*2.79023</f>
        <v>1218.9868466716666</v>
      </c>
      <c r="H21" s="2">
        <f t="shared" si="2"/>
        <v>218.43841666666665</v>
      </c>
      <c r="I21" s="2">
        <f t="shared" si="3"/>
        <v>1874.3020966716665</v>
      </c>
      <c r="J21" s="2">
        <f>(0.3+0.05+0.1+0.2+5)*1.023*1.074</f>
        <v>6.2076662999999996</v>
      </c>
      <c r="K21" s="3">
        <f t="shared" si="4"/>
        <v>1880.5097629716665</v>
      </c>
      <c r="L21" s="35">
        <f t="shared" si="5"/>
        <v>2219.0015203065664</v>
      </c>
    </row>
    <row r="22" spans="1:12" ht="15.75">
      <c r="A22" s="24">
        <f t="shared" si="6"/>
        <v>5</v>
      </c>
      <c r="B22" s="1" t="s">
        <v>5</v>
      </c>
      <c r="C22" s="6">
        <f>90/60</f>
        <v>1.5</v>
      </c>
      <c r="D22" s="2">
        <v>231.97</v>
      </c>
      <c r="E22" s="2">
        <f t="shared" si="0"/>
        <v>347.95499999999998</v>
      </c>
      <c r="F22" s="2">
        <f t="shared" si="1"/>
        <v>393.18914999999993</v>
      </c>
      <c r="G22" s="2">
        <f>F22*2.79105</f>
        <v>1097.4105771074996</v>
      </c>
      <c r="H22" s="2">
        <f t="shared" si="2"/>
        <v>196.59457499999996</v>
      </c>
      <c r="I22" s="2">
        <f t="shared" si="3"/>
        <v>1687.1943021074994</v>
      </c>
      <c r="J22" s="2">
        <f>13.2*1.023*1.074</f>
        <v>14.5028664</v>
      </c>
      <c r="K22" s="3">
        <f t="shared" si="4"/>
        <v>1701.6971685074993</v>
      </c>
      <c r="L22" s="35">
        <f t="shared" si="5"/>
        <v>2008.0026588388491</v>
      </c>
    </row>
    <row r="23" spans="1:12" ht="15.75">
      <c r="A23" s="24">
        <f t="shared" si="6"/>
        <v>6</v>
      </c>
      <c r="B23" s="1" t="s">
        <v>4</v>
      </c>
      <c r="C23" s="6">
        <f>32/60</f>
        <v>0.53333333333333333</v>
      </c>
      <c r="D23" s="2">
        <v>231.97</v>
      </c>
      <c r="E23" s="2">
        <f t="shared" si="0"/>
        <v>123.71733333333333</v>
      </c>
      <c r="F23" s="2">
        <f t="shared" si="1"/>
        <v>139.80058666666665</v>
      </c>
      <c r="G23" s="2">
        <f>F23*2.7923</f>
        <v>390.3651781493333</v>
      </c>
      <c r="H23" s="2">
        <f t="shared" si="2"/>
        <v>69.900293333333323</v>
      </c>
      <c r="I23" s="2">
        <f t="shared" si="3"/>
        <v>600.06605814933334</v>
      </c>
      <c r="J23" s="2">
        <f>45.5*1.023</f>
        <v>46.546499999999995</v>
      </c>
      <c r="K23" s="3">
        <f t="shared" si="4"/>
        <v>646.61255814933338</v>
      </c>
      <c r="L23" s="35">
        <f t="shared" si="5"/>
        <v>763.0028186162134</v>
      </c>
    </row>
    <row r="24" spans="1:12" ht="15.75">
      <c r="A24" s="24">
        <f t="shared" si="6"/>
        <v>7</v>
      </c>
      <c r="B24" s="1" t="s">
        <v>25</v>
      </c>
      <c r="C24" s="6">
        <f>40/60</f>
        <v>0.66666666666666663</v>
      </c>
      <c r="D24" s="2">
        <v>231.97</v>
      </c>
      <c r="E24" s="2">
        <f t="shared" si="0"/>
        <v>154.64666666666665</v>
      </c>
      <c r="F24" s="2">
        <f t="shared" si="1"/>
        <v>174.7507333333333</v>
      </c>
      <c r="G24" s="2">
        <f>F24*2.7912</f>
        <v>487.76424687999992</v>
      </c>
      <c r="H24" s="2">
        <f t="shared" si="2"/>
        <v>87.37536666666665</v>
      </c>
      <c r="I24" s="2">
        <f t="shared" si="3"/>
        <v>749.89034687999992</v>
      </c>
      <c r="J24" s="2">
        <f>(10+0.97+3+0.013)*1.023*1.074</f>
        <v>15.363150065999999</v>
      </c>
      <c r="K24" s="3">
        <f t="shared" si="4"/>
        <v>765.25349694599993</v>
      </c>
      <c r="L24" s="35">
        <f t="shared" si="5"/>
        <v>902.99912639627985</v>
      </c>
    </row>
    <row r="25" spans="1:12" ht="31.5">
      <c r="A25" s="24">
        <f t="shared" si="6"/>
        <v>8</v>
      </c>
      <c r="B25" s="1" t="s">
        <v>26</v>
      </c>
      <c r="C25" s="6">
        <f>40/60</f>
        <v>0.66666666666666663</v>
      </c>
      <c r="D25" s="2">
        <v>231.97</v>
      </c>
      <c r="E25" s="2">
        <f t="shared" si="0"/>
        <v>154.64666666666665</v>
      </c>
      <c r="F25" s="2">
        <f t="shared" si="1"/>
        <v>174.7507333333333</v>
      </c>
      <c r="G25" s="2">
        <f>F25*2.7919</f>
        <v>487.88657239333327</v>
      </c>
      <c r="H25" s="2">
        <f t="shared" si="2"/>
        <v>87.37536666666665</v>
      </c>
      <c r="I25" s="2">
        <f t="shared" si="3"/>
        <v>750.01267239333322</v>
      </c>
      <c r="J25" s="2">
        <f>13.1*1.023*1.074</f>
        <v>14.392996200000001</v>
      </c>
      <c r="K25" s="3">
        <f t="shared" si="4"/>
        <v>764.40566859333319</v>
      </c>
      <c r="L25" s="35">
        <f t="shared" si="5"/>
        <v>901.99868894013309</v>
      </c>
    </row>
    <row r="26" spans="1:12" ht="15.75">
      <c r="A26" s="24">
        <f t="shared" si="6"/>
        <v>9</v>
      </c>
      <c r="B26" s="1" t="s">
        <v>27</v>
      </c>
      <c r="C26" s="6">
        <f>128/60</f>
        <v>2.1333333333333333</v>
      </c>
      <c r="D26" s="2">
        <v>231.97</v>
      </c>
      <c r="E26" s="2">
        <f t="shared" si="0"/>
        <v>494.86933333333332</v>
      </c>
      <c r="F26" s="2">
        <f t="shared" si="1"/>
        <v>559.20234666666659</v>
      </c>
      <c r="G26" s="2">
        <f>F26*2.78926</f>
        <v>1559.7607374634665</v>
      </c>
      <c r="H26" s="2">
        <f t="shared" si="2"/>
        <v>279.60117333333329</v>
      </c>
      <c r="I26" s="2">
        <f t="shared" si="3"/>
        <v>2398.5642574634667</v>
      </c>
      <c r="J26" s="2">
        <f>76.9*1.023*1.074</f>
        <v>84.490183800000011</v>
      </c>
      <c r="K26" s="3">
        <f t="shared" si="4"/>
        <v>2483.0544412634667</v>
      </c>
      <c r="L26" s="35">
        <f t="shared" si="5"/>
        <v>2930.0042406908906</v>
      </c>
    </row>
    <row r="27" spans="1:12" ht="15.75">
      <c r="A27" s="24">
        <f t="shared" si="6"/>
        <v>10</v>
      </c>
      <c r="B27" s="1" t="s">
        <v>28</v>
      </c>
      <c r="C27" s="6">
        <f>80/60</f>
        <v>1.3333333333333333</v>
      </c>
      <c r="D27" s="2">
        <v>231.97</v>
      </c>
      <c r="E27" s="2">
        <f t="shared" si="0"/>
        <v>309.29333333333329</v>
      </c>
      <c r="F27" s="2">
        <f t="shared" si="1"/>
        <v>349.5014666666666</v>
      </c>
      <c r="G27" s="2">
        <f>F27*2.78935</f>
        <v>974.88191604666656</v>
      </c>
      <c r="H27" s="2">
        <f t="shared" si="2"/>
        <v>174.7507333333333</v>
      </c>
      <c r="I27" s="2">
        <f t="shared" si="3"/>
        <v>1499.1341160466663</v>
      </c>
      <c r="J27" s="2">
        <f>35.5*1.023*1.074</f>
        <v>39.003920999999998</v>
      </c>
      <c r="K27" s="3">
        <f t="shared" si="4"/>
        <v>1538.1380370466663</v>
      </c>
      <c r="L27" s="35">
        <f t="shared" si="5"/>
        <v>1815.0028837150662</v>
      </c>
    </row>
    <row r="28" spans="1:12" ht="15.75">
      <c r="A28" s="24">
        <f t="shared" si="6"/>
        <v>11</v>
      </c>
      <c r="B28" s="1" t="s">
        <v>9</v>
      </c>
      <c r="C28" s="6">
        <f>127/60</f>
        <v>2.1166666666666667</v>
      </c>
      <c r="D28" s="2">
        <v>231.97</v>
      </c>
      <c r="E28" s="2">
        <f t="shared" si="0"/>
        <v>491.00316666666669</v>
      </c>
      <c r="F28" s="2">
        <f t="shared" si="1"/>
        <v>554.83357833333332</v>
      </c>
      <c r="G28" s="2">
        <f>F28*2.78972</f>
        <v>1547.8303301480667</v>
      </c>
      <c r="H28" s="2">
        <f t="shared" si="2"/>
        <v>277.41678916666666</v>
      </c>
      <c r="I28" s="2">
        <f t="shared" si="3"/>
        <v>2380.0806976480667</v>
      </c>
      <c r="J28" s="2">
        <f>29.7*1.023*1.074</f>
        <v>32.631449399999994</v>
      </c>
      <c r="K28" s="3">
        <f t="shared" si="4"/>
        <v>2412.7121470480665</v>
      </c>
      <c r="L28" s="35">
        <f t="shared" si="5"/>
        <v>2847.0003335167185</v>
      </c>
    </row>
    <row r="29" spans="1:12" ht="15.75">
      <c r="A29" s="24">
        <f t="shared" si="6"/>
        <v>12</v>
      </c>
      <c r="B29" s="1" t="s">
        <v>11</v>
      </c>
      <c r="C29" s="6">
        <f>121/60</f>
        <v>2.0166666666666666</v>
      </c>
      <c r="D29" s="2">
        <v>231.97</v>
      </c>
      <c r="E29" s="2">
        <f t="shared" si="0"/>
        <v>467.80616666666663</v>
      </c>
      <c r="F29" s="2">
        <f t="shared" si="1"/>
        <v>528.62096833333328</v>
      </c>
      <c r="G29" s="2">
        <f>F29*2.78932</f>
        <v>1474.4930393915331</v>
      </c>
      <c r="H29" s="2">
        <f t="shared" si="2"/>
        <v>264.31048416666664</v>
      </c>
      <c r="I29" s="2">
        <f t="shared" si="3"/>
        <v>2267.4244918915333</v>
      </c>
      <c r="J29" s="2">
        <f>23.48*1.023*1.074</f>
        <v>25.797522959999998</v>
      </c>
      <c r="K29" s="3">
        <f t="shared" si="4"/>
        <v>2293.2220148515335</v>
      </c>
      <c r="L29" s="35">
        <f t="shared" si="5"/>
        <v>2706.0019775248093</v>
      </c>
    </row>
    <row r="30" spans="1:12" ht="15.75">
      <c r="A30" s="24">
        <f t="shared" si="6"/>
        <v>13</v>
      </c>
      <c r="B30" s="1" t="s">
        <v>10</v>
      </c>
      <c r="C30" s="6">
        <f>103/60</f>
        <v>1.7166666666666666</v>
      </c>
      <c r="D30" s="2">
        <v>231.97</v>
      </c>
      <c r="E30" s="2">
        <f t="shared" si="0"/>
        <v>398.21516666666662</v>
      </c>
      <c r="F30" s="2">
        <f t="shared" si="1"/>
        <v>449.98313833333322</v>
      </c>
      <c r="G30" s="2">
        <f>F30*2.7892</f>
        <v>1255.092969439333</v>
      </c>
      <c r="H30" s="2">
        <f t="shared" si="2"/>
        <v>224.99156916666661</v>
      </c>
      <c r="I30" s="2">
        <f t="shared" si="3"/>
        <v>1930.0676769393328</v>
      </c>
      <c r="J30" s="2">
        <f>(0.02+0.1+0.1+75)*1.023*1.074</f>
        <v>82.644364440000004</v>
      </c>
      <c r="K30" s="3">
        <f t="shared" si="4"/>
        <v>2012.7120413793327</v>
      </c>
      <c r="L30" s="35">
        <f t="shared" si="5"/>
        <v>2375.0002088276124</v>
      </c>
    </row>
    <row r="31" spans="1:12" ht="15.75">
      <c r="A31" s="24">
        <f t="shared" si="6"/>
        <v>14</v>
      </c>
      <c r="B31" s="1" t="s">
        <v>29</v>
      </c>
      <c r="C31" s="6">
        <f>50/60</f>
        <v>0.83333333333333337</v>
      </c>
      <c r="D31" s="2">
        <v>231.97</v>
      </c>
      <c r="E31" s="2">
        <f t="shared" si="0"/>
        <v>193.30833333333334</v>
      </c>
      <c r="F31" s="2">
        <f t="shared" si="1"/>
        <v>218.43841666666665</v>
      </c>
      <c r="G31" s="2">
        <f>F31*2.79137</f>
        <v>609.74244313083329</v>
      </c>
      <c r="H31" s="2">
        <f t="shared" si="2"/>
        <v>109.21920833333333</v>
      </c>
      <c r="I31" s="2">
        <f t="shared" si="3"/>
        <v>937.40006813083323</v>
      </c>
      <c r="J31" s="2">
        <f>(0.32+0.1+1+1+0.003+0.33+1)*1.023*1.074</f>
        <v>4.1234286060000001</v>
      </c>
      <c r="K31" s="3">
        <f t="shared" si="4"/>
        <v>941.52349673683318</v>
      </c>
      <c r="L31" s="35">
        <f t="shared" si="5"/>
        <v>1110.997726149463</v>
      </c>
    </row>
    <row r="32" spans="1:12" ht="15.75">
      <c r="A32" s="24">
        <f t="shared" si="6"/>
        <v>15</v>
      </c>
      <c r="B32" s="1" t="s">
        <v>16</v>
      </c>
      <c r="C32" s="6">
        <f>91/60</f>
        <v>1.5166666666666666</v>
      </c>
      <c r="D32" s="2">
        <v>231.97</v>
      </c>
      <c r="E32" s="2">
        <f t="shared" si="0"/>
        <v>351.82116666666667</v>
      </c>
      <c r="F32" s="2">
        <f t="shared" si="1"/>
        <v>397.5579183333333</v>
      </c>
      <c r="G32" s="2">
        <f>F32*2.78985</f>
        <v>1109.1269584622498</v>
      </c>
      <c r="H32" s="2">
        <f t="shared" si="2"/>
        <v>198.77895916666665</v>
      </c>
      <c r="I32" s="2">
        <f t="shared" si="3"/>
        <v>1705.4638359622497</v>
      </c>
      <c r="J32" s="2">
        <f>12*1.023*1.074</f>
        <v>13.184424</v>
      </c>
      <c r="K32" s="3">
        <f t="shared" si="4"/>
        <v>1718.6482599622498</v>
      </c>
      <c r="L32" s="35">
        <f t="shared" si="5"/>
        <v>2028.0049467554545</v>
      </c>
    </row>
    <row r="33" spans="1:12" ht="15.75">
      <c r="A33" s="24">
        <f t="shared" si="6"/>
        <v>16</v>
      </c>
      <c r="B33" s="1" t="s">
        <v>30</v>
      </c>
      <c r="C33" s="6">
        <f>120/60</f>
        <v>2</v>
      </c>
      <c r="D33" s="2">
        <v>231.97</v>
      </c>
      <c r="E33" s="2">
        <f t="shared" si="0"/>
        <v>463.94</v>
      </c>
      <c r="F33" s="2">
        <f t="shared" si="1"/>
        <v>524.2521999999999</v>
      </c>
      <c r="G33" s="2">
        <f>F33*2.79017</f>
        <v>1462.7527608739997</v>
      </c>
      <c r="H33" s="2">
        <f t="shared" si="2"/>
        <v>262.12609999999995</v>
      </c>
      <c r="I33" s="2">
        <f t="shared" si="3"/>
        <v>2249.1310608739996</v>
      </c>
      <c r="J33" s="2">
        <f>19.3*1.023*1.074</f>
        <v>21.204948600000002</v>
      </c>
      <c r="K33" s="3">
        <f t="shared" si="4"/>
        <v>2270.3360094739996</v>
      </c>
      <c r="L33" s="35">
        <f t="shared" si="5"/>
        <v>2678.9964911793195</v>
      </c>
    </row>
    <row r="34" spans="1:12" ht="15.75">
      <c r="A34" s="24">
        <f t="shared" si="6"/>
        <v>17</v>
      </c>
      <c r="B34" s="1" t="s">
        <v>14</v>
      </c>
      <c r="C34" s="6">
        <f>122/60</f>
        <v>2.0333333333333332</v>
      </c>
      <c r="D34" s="2">
        <v>231.97</v>
      </c>
      <c r="E34" s="2">
        <f t="shared" si="0"/>
        <v>471.67233333333331</v>
      </c>
      <c r="F34" s="2">
        <f t="shared" si="1"/>
        <v>532.98973666666654</v>
      </c>
      <c r="G34" s="2">
        <f>F34*2.7899</f>
        <v>1486.988066326333</v>
      </c>
      <c r="H34" s="2">
        <f t="shared" si="2"/>
        <v>266.49486833333327</v>
      </c>
      <c r="I34" s="2">
        <f t="shared" si="3"/>
        <v>2286.4726713263326</v>
      </c>
      <c r="J34" s="2">
        <f>10*1.023*1.074</f>
        <v>10.987019999999999</v>
      </c>
      <c r="K34" s="3">
        <f t="shared" si="4"/>
        <v>2297.4596913263326</v>
      </c>
      <c r="L34" s="35">
        <f t="shared" si="5"/>
        <v>2711.0024357650723</v>
      </c>
    </row>
    <row r="35" spans="1:12" ht="31.5">
      <c r="A35" s="24">
        <f t="shared" si="6"/>
        <v>18</v>
      </c>
      <c r="B35" s="1" t="s">
        <v>31</v>
      </c>
      <c r="C35" s="6">
        <f>46/60</f>
        <v>0.76666666666666672</v>
      </c>
      <c r="D35" s="2">
        <v>231.97</v>
      </c>
      <c r="E35" s="2">
        <f t="shared" si="0"/>
        <v>177.84366666666668</v>
      </c>
      <c r="F35" s="2">
        <f t="shared" si="1"/>
        <v>200.96334333333334</v>
      </c>
      <c r="G35" s="2">
        <f>F35*2.7905</f>
        <v>560.7882095716667</v>
      </c>
      <c r="H35" s="2">
        <f t="shared" si="2"/>
        <v>100.48167166666667</v>
      </c>
      <c r="I35" s="2">
        <f t="shared" si="3"/>
        <v>862.23322457166671</v>
      </c>
      <c r="J35" s="2">
        <f>66*1.023*1.074</f>
        <v>72.51433200000001</v>
      </c>
      <c r="K35" s="3">
        <f t="shared" si="4"/>
        <v>934.74755657166668</v>
      </c>
      <c r="L35" s="35">
        <f t="shared" si="5"/>
        <v>1103.0021167545667</v>
      </c>
    </row>
    <row r="36" spans="1:12" ht="15.75">
      <c r="A36" s="24">
        <f t="shared" si="6"/>
        <v>19</v>
      </c>
      <c r="B36" s="1" t="s">
        <v>13</v>
      </c>
      <c r="C36" s="6">
        <f>64/60</f>
        <v>1.0666666666666667</v>
      </c>
      <c r="D36" s="2">
        <v>231.97</v>
      </c>
      <c r="E36" s="2">
        <f t="shared" si="0"/>
        <v>247.43466666666666</v>
      </c>
      <c r="F36" s="2">
        <f t="shared" si="1"/>
        <v>279.60117333333329</v>
      </c>
      <c r="G36" s="2">
        <f>F36*2.7888</f>
        <v>779.75175219199991</v>
      </c>
      <c r="H36" s="2">
        <f t="shared" si="2"/>
        <v>139.80058666666665</v>
      </c>
      <c r="I36" s="2">
        <f t="shared" si="3"/>
        <v>1199.1535121919999</v>
      </c>
      <c r="J36" s="2"/>
      <c r="K36" s="3">
        <f t="shared" si="4"/>
        <v>1199.1535121919999</v>
      </c>
      <c r="L36" s="35">
        <f t="shared" si="5"/>
        <v>1415.0011443865599</v>
      </c>
    </row>
    <row r="37" spans="1:12" ht="15.75">
      <c r="A37" s="24">
        <f t="shared" si="6"/>
        <v>20</v>
      </c>
      <c r="B37" s="1" t="s">
        <v>32</v>
      </c>
      <c r="C37" s="6">
        <f>146/60</f>
        <v>2.4333333333333331</v>
      </c>
      <c r="D37" s="2">
        <v>231.97</v>
      </c>
      <c r="E37" s="2">
        <f t="shared" si="0"/>
        <v>564.46033333333332</v>
      </c>
      <c r="F37" s="2">
        <f t="shared" si="1"/>
        <v>637.84017666666659</v>
      </c>
      <c r="G37" s="2">
        <f>F37*2.78973</f>
        <v>1779.4018760522997</v>
      </c>
      <c r="H37" s="2">
        <f t="shared" si="2"/>
        <v>318.9200883333333</v>
      </c>
      <c r="I37" s="2">
        <f t="shared" si="3"/>
        <v>2736.1621410522994</v>
      </c>
      <c r="J37" s="2">
        <f>(0.7+0.1+1)*1.023*1.074</f>
        <v>1.9776635999999999</v>
      </c>
      <c r="K37" s="3">
        <f t="shared" si="4"/>
        <v>2738.1398046522995</v>
      </c>
      <c r="L37" s="35">
        <f t="shared" si="5"/>
        <v>3231.0049694897134</v>
      </c>
    </row>
    <row r="38" spans="1:12" ht="15.75">
      <c r="A38" s="24">
        <f t="shared" si="6"/>
        <v>21</v>
      </c>
      <c r="B38" s="1" t="s">
        <v>33</v>
      </c>
      <c r="C38" s="6">
        <f>15/60</f>
        <v>0.25</v>
      </c>
      <c r="D38" s="2">
        <v>231.97</v>
      </c>
      <c r="E38" s="2">
        <f t="shared" si="0"/>
        <v>57.9925</v>
      </c>
      <c r="F38" s="2">
        <f t="shared" si="1"/>
        <v>65.531524999999988</v>
      </c>
      <c r="G38" s="2">
        <f>F38*2.7942</f>
        <v>183.10818715499997</v>
      </c>
      <c r="H38" s="2">
        <f t="shared" si="2"/>
        <v>32.765762499999994</v>
      </c>
      <c r="I38" s="2">
        <f t="shared" si="3"/>
        <v>281.40547465499992</v>
      </c>
      <c r="J38" s="2">
        <f>1.5*1.023*1.074</f>
        <v>1.648053</v>
      </c>
      <c r="K38" s="3">
        <f t="shared" si="4"/>
        <v>283.05352765499993</v>
      </c>
      <c r="L38" s="35">
        <f t="shared" si="5"/>
        <v>334.00316263289989</v>
      </c>
    </row>
    <row r="39" spans="1:12" ht="16.5" thickBot="1">
      <c r="A39" s="25">
        <f t="shared" si="6"/>
        <v>22</v>
      </c>
      <c r="B39" s="4" t="s">
        <v>17</v>
      </c>
      <c r="C39" s="7">
        <f>43/60</f>
        <v>0.71666666666666667</v>
      </c>
      <c r="D39" s="2">
        <v>231.97</v>
      </c>
      <c r="E39" s="5">
        <f t="shared" si="0"/>
        <v>166.24516666666668</v>
      </c>
      <c r="F39" s="2">
        <f t="shared" si="1"/>
        <v>187.85703833333332</v>
      </c>
      <c r="G39" s="2">
        <f>F39*2.79088</f>
        <v>524.2864511437333</v>
      </c>
      <c r="H39" s="2">
        <f t="shared" si="2"/>
        <v>93.928519166666661</v>
      </c>
      <c r="I39" s="2">
        <f t="shared" si="3"/>
        <v>806.07200864373328</v>
      </c>
      <c r="J39" s="5">
        <f>125.6*1.023*1.074</f>
        <v>137.99697119999996</v>
      </c>
      <c r="K39" s="8">
        <f t="shared" si="4"/>
        <v>944.06897984373325</v>
      </c>
      <c r="L39" s="35">
        <f t="shared" si="5"/>
        <v>1114.0013962156052</v>
      </c>
    </row>
    <row r="40" spans="1:12" ht="15.75">
      <c r="B40" s="10" t="s">
        <v>66</v>
      </c>
      <c r="C40" s="9"/>
      <c r="D40" s="9"/>
    </row>
    <row r="41" spans="1:12" ht="15.75">
      <c r="B41" s="59" t="s">
        <v>60</v>
      </c>
      <c r="C41" s="59"/>
      <c r="D41" s="14" t="s">
        <v>62</v>
      </c>
      <c r="E41" s="12">
        <f>'питьевая вода'!E42</f>
        <v>262.12609999999995</v>
      </c>
      <c r="F41" s="9" t="s">
        <v>34</v>
      </c>
      <c r="G41" s="9"/>
      <c r="L41" s="12"/>
    </row>
    <row r="42" spans="1:12" ht="15.75">
      <c r="B42" s="60" t="s">
        <v>61</v>
      </c>
      <c r="C42" s="60"/>
      <c r="D42" s="14" t="s">
        <v>62</v>
      </c>
      <c r="E42" s="12">
        <f>'питьевая вода'!E43</f>
        <v>147.35</v>
      </c>
      <c r="F42" s="9" t="s">
        <v>34</v>
      </c>
      <c r="G42" s="9"/>
      <c r="L42" s="9"/>
    </row>
    <row r="43" spans="1:12" ht="15.75">
      <c r="B43" s="60" t="s">
        <v>75</v>
      </c>
      <c r="C43" s="60"/>
      <c r="D43" s="15" t="s">
        <v>63</v>
      </c>
      <c r="E43" s="12">
        <f>'питьевая вода'!E44</f>
        <v>887</v>
      </c>
      <c r="F43" s="9" t="s">
        <v>34</v>
      </c>
      <c r="G43" s="9"/>
    </row>
    <row r="44" spans="1:12" ht="15.75">
      <c r="B44" s="13" t="s">
        <v>35</v>
      </c>
      <c r="C44" s="9"/>
      <c r="D44" s="9"/>
      <c r="E44" s="9"/>
      <c r="F44" s="9"/>
      <c r="G44" s="9"/>
    </row>
    <row r="45" spans="1:12" ht="15.75">
      <c r="B45" s="11" t="s">
        <v>36</v>
      </c>
      <c r="C45" s="14">
        <v>56.6</v>
      </c>
      <c r="D45" s="15" t="s">
        <v>37</v>
      </c>
      <c r="E45" s="14">
        <f>E42</f>
        <v>147.35</v>
      </c>
      <c r="F45" s="15" t="s">
        <v>38</v>
      </c>
      <c r="G45" s="23">
        <f>C45+E45</f>
        <v>203.95</v>
      </c>
      <c r="H45" s="16" t="s">
        <v>34</v>
      </c>
    </row>
    <row r="46" spans="1:12" ht="14.25" customHeight="1"/>
    <row r="47" spans="1:12" ht="14.25" customHeight="1"/>
    <row r="48" spans="1:12" ht="15.75">
      <c r="B48" s="9" t="s">
        <v>41</v>
      </c>
      <c r="C48" s="9"/>
      <c r="D48" s="9"/>
      <c r="E48" s="9"/>
      <c r="F48" s="43"/>
      <c r="G48" s="43"/>
      <c r="K48" s="43" t="s">
        <v>42</v>
      </c>
      <c r="L48" s="43"/>
    </row>
    <row r="49" spans="2:12" ht="15.75">
      <c r="B49" s="9"/>
      <c r="C49" s="9"/>
      <c r="D49" s="9"/>
      <c r="E49" s="9"/>
      <c r="F49" s="9"/>
      <c r="G49" s="9"/>
      <c r="K49" s="43"/>
      <c r="L49" s="43"/>
    </row>
    <row r="50" spans="2:12" ht="15.75">
      <c r="B50" s="9"/>
      <c r="C50" s="9"/>
      <c r="D50" s="9"/>
      <c r="E50" s="9"/>
      <c r="F50" s="9"/>
      <c r="G50" s="9"/>
    </row>
    <row r="51" spans="2:12" ht="15.75">
      <c r="B51" s="9"/>
      <c r="C51" s="9"/>
      <c r="D51" s="9"/>
      <c r="E51" s="9"/>
      <c r="F51" s="9"/>
      <c r="G51" s="9"/>
    </row>
    <row r="52" spans="2:12" ht="15.75">
      <c r="B52" s="9"/>
      <c r="C52" s="9"/>
      <c r="D52" s="9"/>
      <c r="E52" s="9"/>
      <c r="F52" s="9"/>
      <c r="G52" s="9"/>
    </row>
    <row r="53" spans="2:12" ht="15.75">
      <c r="B53" s="9"/>
      <c r="C53" s="9"/>
      <c r="D53" s="9"/>
      <c r="E53" s="9"/>
      <c r="F53" s="9"/>
      <c r="G53" s="9"/>
    </row>
    <row r="58" spans="2:12" ht="15.75">
      <c r="B58" s="9" t="s">
        <v>43</v>
      </c>
    </row>
    <row r="59" spans="2:12" ht="15.75">
      <c r="B59" s="9" t="s">
        <v>44</v>
      </c>
    </row>
  </sheetData>
  <mergeCells count="19">
    <mergeCell ref="F48:G48"/>
    <mergeCell ref="B42:C42"/>
    <mergeCell ref="B43:C43"/>
    <mergeCell ref="B12:L12"/>
    <mergeCell ref="K49:L49"/>
    <mergeCell ref="F14:F17"/>
    <mergeCell ref="G14:G17"/>
    <mergeCell ref="H14:H17"/>
    <mergeCell ref="I14:I17"/>
    <mergeCell ref="J14:J17"/>
    <mergeCell ref="K14:K17"/>
    <mergeCell ref="L14:L17"/>
    <mergeCell ref="B41:C41"/>
    <mergeCell ref="K48:L48"/>
    <mergeCell ref="A14:A17"/>
    <mergeCell ref="B14:B17"/>
    <mergeCell ref="C14:C17"/>
    <mergeCell ref="D14:D17"/>
    <mergeCell ref="E14:E17"/>
  </mergeCells>
  <phoneticPr fontId="2" type="noConversion"/>
  <pageMargins left="0.78740157480314965" right="0.39370078740157483" top="0.38" bottom="0.3" header="0.51181102362204722" footer="0.31496062992125984"/>
  <pageSetup paperSize="9" fitToHeight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МГА</vt:lpstr>
      <vt:lpstr>БАК</vt:lpstr>
      <vt:lpstr>питьевая вода</vt:lpstr>
      <vt:lpstr>стоки</vt:lpstr>
    </vt:vector>
  </TitlesOfParts>
  <Company>МУП ПУ ВКХ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Устинова</dc:creator>
  <cp:lastModifiedBy>ustinova_oe</cp:lastModifiedBy>
  <cp:lastPrinted>2016-01-20T02:04:40Z</cp:lastPrinted>
  <dcterms:created xsi:type="dcterms:W3CDTF">2013-03-05T05:28:19Z</dcterms:created>
  <dcterms:modified xsi:type="dcterms:W3CDTF">2016-01-20T02:04:44Z</dcterms:modified>
</cp:coreProperties>
</file>